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mc:AlternateContent xmlns:mc="http://schemas.openxmlformats.org/markup-compatibility/2006">
    <mc:Choice Requires="x15">
      <x15ac:absPath xmlns:x15ac="http://schemas.microsoft.com/office/spreadsheetml/2010/11/ac" url="C:\Users\Pumberger\Downloads\Berechnungshilfe20231117\"/>
    </mc:Choice>
  </mc:AlternateContent>
  <xr:revisionPtr revIDLastSave="0" documentId="13_ncr:1_{B142FB03-83BB-4275-8CB0-ECC39CDDEDB7}" xr6:coauthVersionLast="47" xr6:coauthVersionMax="47" xr10:uidLastSave="{00000000-0000-0000-0000-000000000000}"/>
  <workbookProtection workbookAlgorithmName="SHA-512" workbookHashValue="9UTjZJ7iDdeES8u0UVBay7cgwKO9wDleUtmNGmbfXaKOy7JoKpQa6ZbSlkSJkFDCQz9nHrJHyQM52Z5J+7S97Q==" workbookSaltValue="EeUhY/vKoFLkkNdal9Y/oQ==" workbookSpinCount="100000" lockStructure="1"/>
  <bookViews>
    <workbookView xWindow="4020" yWindow="945" windowWidth="24765" windowHeight="14160" tabRatio="759" xr2:uid="{00000000-000D-0000-FFFF-FFFF00000000}"/>
  </bookViews>
  <sheets>
    <sheet name="Erläuterung" sheetId="13" r:id="rId1"/>
    <sheet name="1 - Strom Erdgas Wärme Vgl" sheetId="2" r:id="rId2"/>
    <sheet name="2 - Strom Erdgas Wärme Förderj." sheetId="4" r:id="rId3"/>
    <sheet name="3 - Treibstoffe Rechnungen" sheetId="16" r:id="rId4"/>
    <sheet name="3 - Treibstoffe" sheetId="17" r:id="rId5"/>
    <sheet name="4 - Heizöl_Holzpellets_Hacksch." sheetId="22" r:id="rId6"/>
    <sheet name="5 - Zuschuss" sheetId="7" r:id="rId7"/>
    <sheet name="Import" sheetId="10" state="hidden" r:id="rId8"/>
    <sheet name="Zählpunkte Schritt 2" sheetId="9" state="hidden" r:id="rId9"/>
    <sheet name="Parameter" sheetId="21" state="hidden" r:id="rId10"/>
    <sheet name="Liste" sheetId="6" state="hidden" r:id="rId11"/>
  </sheets>
  <definedNames>
    <definedName name="_xlnm._FilterDatabase" localSheetId="5" hidden="1">'4 - Heizöl_Holzpellets_Hacksch.'!#REF!</definedName>
    <definedName name="Auswahl_EBITDA">tab_EBITDA[EBITDA]</definedName>
    <definedName name="Auswahl_Energieart">tbl_Energieart[Energieart]</definedName>
    <definedName name="Auswahl_JaNein">tbl_JaNein[JaNein]</definedName>
    <definedName name="Auswahl_Methode">tbl_Methoden[Methoden]</definedName>
    <definedName name="Auswahl_Öl">tbl_Heizöl[]</definedName>
    <definedName name="Auswahl_Treibstoffart">tbl_Treibstoffart[Treibstoffart]</definedName>
    <definedName name="B_E0_Liter_NichtVSt">'3 - Treibstoffe Rechnungen'!$M$9</definedName>
    <definedName name="B_Standard_Liter_NichtVSt">'3 - Treibstoffe Rechnungen'!$M$8</definedName>
    <definedName name="Benzin_Spez">Liste!$W$1:$W$2</definedName>
    <definedName name="D_B0_Liter_NichtVSt">'3 - Treibstoffe Rechnungen'!$M$7</definedName>
    <definedName name="D_Standard_Liter_NichtVSt">'3 - Treibstoffe Rechnungen'!$M$6</definedName>
    <definedName name="Diesel_Spez">Liste!$V$1:$V$2</definedName>
    <definedName name="do_Hackschnitzel">'4 - Heizöl_Holzpellets_Hacksch.'!$D$14</definedName>
    <definedName name="do_Heizöl">'4 - Heizöl_Holzpellets_Hacksch.'!$D$12</definedName>
    <definedName name="do_Pellets">'4 - Heizöl_Holzpellets_Hacksch.'!$D$13</definedName>
    <definedName name="_xlnm.Print_Area" localSheetId="4">'3 - Treibstoffe'!$B$1:$D$31</definedName>
    <definedName name="_xlnm.Print_Area" localSheetId="5">'4 - Heizöl_Holzpellets_Hacksch.'!$A$1:$W$67</definedName>
    <definedName name="EBIDTA_VZ">'5 - Zuschuss'!$H$25</definedName>
    <definedName name="EBITDA_Absenkung">Parameter!$B$35</definedName>
    <definedName name="EBITDA_FZ">'5 - Zuschuss'!$H$26</definedName>
    <definedName name="Energieart">Liste!$A$2:$A$4</definedName>
    <definedName name="Energieträger_">Liste!$S$1:$S$2</definedName>
    <definedName name="Heizölart">'4 - Heizöl_Holzpellets_Hacksch.'!$H$20</definedName>
    <definedName name="HHH_VSt">'4 - Heizöl_Holzpellets_Hacksch.'!$H$12</definedName>
    <definedName name="Lastprofilzähler">Liste!$D$2:$D$3</definedName>
    <definedName name="Methoden">tbl_Methoden[Methoden]</definedName>
    <definedName name="par_EBITDA_Absenkung">Parameter!$B$35</definedName>
    <definedName name="par_EBITDA_Deckel">Parameter!$B$37</definedName>
    <definedName name="par_EBITDA_Grenzsatz">Parameter!$B$36</definedName>
    <definedName name="par_Erdgas_kWh_max">Parameter!$B$14</definedName>
    <definedName name="par_Erdgas_ZQ">Parameter!$B$15</definedName>
    <definedName name="par_EZ_Grenze">Parameter!$B$23</definedName>
    <definedName name="par_EZ_Grenze_txt">Parameter!$D$23</definedName>
    <definedName name="par_EZ_Stufe">Parameter!$B$22</definedName>
    <definedName name="par_FZ_dText">Parameter!$M$4</definedName>
    <definedName name="par_FZ_Monate">Parameter!$J$4</definedName>
    <definedName name="par_FZ_SEW_Ende">Parameter!$B$4</definedName>
    <definedName name="par_FZ_SEW_Start">Parameter!$B$3</definedName>
    <definedName name="par_FZ_Tage">Parameter!$J$3</definedName>
    <definedName name="par_FZ_Text">Parameter!$L$4</definedName>
    <definedName name="par_Hack_USt">Parameter!$B$30</definedName>
    <definedName name="par_Hack_VZfaktor">Parameter!$B$33</definedName>
    <definedName name="par_Heizöl_USt">Parameter!$B$28</definedName>
    <definedName name="par_Heizöl_VZfaktor">Parameter!$B$31</definedName>
    <definedName name="par_HZetc_ZQ">Parameter!$B$20</definedName>
    <definedName name="par_Jahr1">Parameter!$B$1</definedName>
    <definedName name="par_Jahr2">Parameter!$B$2</definedName>
    <definedName name="par_Pauschalgrenze">Parameter!$B$26</definedName>
    <definedName name="par_Pell_USt">Parameter!$B$29</definedName>
    <definedName name="par_Pell_VZfaktor">Parameter!$B$32</definedName>
    <definedName name="par_SEW_Richtlinie">Parameter!$B$21</definedName>
    <definedName name="par_Strom_kWh_max">Parameter!$B$12</definedName>
    <definedName name="par_Strom_ZQ">Parameter!$B$13</definedName>
    <definedName name="par_Treibstoff_BasisPreisanstieg">Parameter!$B$18</definedName>
    <definedName name="par_TS_brutto">Parameter!$D$7</definedName>
    <definedName name="par_TS_MöstB">Parameter!$B$9</definedName>
    <definedName name="par_TS_MöstB_E0">Parameter!$B$11</definedName>
    <definedName name="par_TS_MöstD">Parameter!$B$8</definedName>
    <definedName name="par_TS_MöstD_B0">Parameter!$B$10</definedName>
    <definedName name="par_TS_Ust">Parameter!$B$7</definedName>
    <definedName name="par_TS_ZQ">Parameter!$B$19</definedName>
    <definedName name="par_VZ_dText">Parameter!$M$6</definedName>
    <definedName name="par_VZ_Monate">Parameter!$J$6</definedName>
    <definedName name="par_VZ_SEW_Ende">Parameter!$B$6</definedName>
    <definedName name="par_VZ_SEW_Start">Parameter!$B$5</definedName>
    <definedName name="par_VZ_Tage">Parameter!$J$5</definedName>
    <definedName name="par_VZ_Text">Parameter!$L$6</definedName>
    <definedName name="par_WK_kWh_max">Parameter!$B$16</definedName>
    <definedName name="par_WK_ZQ">Parameter!$B$17</definedName>
    <definedName name="par_Zuschuss_EBITDAgrenze">Parameter!$B$34</definedName>
    <definedName name="par_Zuschuss_max">Parameter!$B$27</definedName>
    <definedName name="par_Zuschuss_Pauschal">Parameter!$B$25</definedName>
    <definedName name="par_Zuschuss_Untergrenze">Parameter!$B$24</definedName>
    <definedName name="Treibstoffspezifikation">Liste!$U$1:$U$3</definedName>
    <definedName name="TS_brutto">'3 - Treibstoffe Rechnungen'!$F$13:$F$412</definedName>
    <definedName name="TS_Liter">'3 - Treibstoffe Rechnungen'!$H$13:$H$412</definedName>
    <definedName name="TS_netto">'3 - Treibstoffe Rechnungen'!$G$13:$G$412</definedName>
    <definedName name="TS_Treibstoffart">'3 - Treibstoffe Rechnungen'!$E$13:$E$412</definedName>
    <definedName name="TS_Vorsteuer">'3 - Treibstoffe Rechnungen'!$J$13:$J$412</definedName>
    <definedName name="Verweis_Heizölart">tbl_Heizöl[]</definedName>
    <definedName name="Zuschuss_vorläufig">'5 - Zuschuss'!$I$16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 i="7" l="1"/>
  <c r="G14" i="16" l="1"/>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G216" i="16"/>
  <c r="G217" i="16"/>
  <c r="G218" i="16"/>
  <c r="G219" i="16"/>
  <c r="G220" i="16"/>
  <c r="G221" i="16"/>
  <c r="G222" i="16"/>
  <c r="G223" i="16"/>
  <c r="G224" i="16"/>
  <c r="G225" i="16"/>
  <c r="G226" i="16"/>
  <c r="G227" i="16"/>
  <c r="G228" i="16"/>
  <c r="G229" i="16"/>
  <c r="G230" i="16"/>
  <c r="G231" i="16"/>
  <c r="G232" i="16"/>
  <c r="G233" i="16"/>
  <c r="G234" i="16"/>
  <c r="G235" i="16"/>
  <c r="G236" i="16"/>
  <c r="G237" i="16"/>
  <c r="G238" i="16"/>
  <c r="G239" i="16"/>
  <c r="G240" i="16"/>
  <c r="G241" i="16"/>
  <c r="G242" i="16"/>
  <c r="G243" i="16"/>
  <c r="G244" i="16"/>
  <c r="G245" i="16"/>
  <c r="G246" i="16"/>
  <c r="G247" i="16"/>
  <c r="G248" i="16"/>
  <c r="G249" i="16"/>
  <c r="G250" i="16"/>
  <c r="G251" i="16"/>
  <c r="G252" i="16"/>
  <c r="G253" i="16"/>
  <c r="G254" i="16"/>
  <c r="G255" i="16"/>
  <c r="G256" i="16"/>
  <c r="G257" i="16"/>
  <c r="G258" i="16"/>
  <c r="G259" i="16"/>
  <c r="G260" i="16"/>
  <c r="G261" i="16"/>
  <c r="G262" i="16"/>
  <c r="G263" i="16"/>
  <c r="G264" i="16"/>
  <c r="G265" i="16"/>
  <c r="G266" i="16"/>
  <c r="G267" i="16"/>
  <c r="G268" i="16"/>
  <c r="G269" i="16"/>
  <c r="G270" i="16"/>
  <c r="G271" i="16"/>
  <c r="G272" i="16"/>
  <c r="G273" i="16"/>
  <c r="G274" i="16"/>
  <c r="G275" i="16"/>
  <c r="G276" i="16"/>
  <c r="G277" i="16"/>
  <c r="G278" i="16"/>
  <c r="G279" i="16"/>
  <c r="G280" i="16"/>
  <c r="G281" i="16"/>
  <c r="G282" i="16"/>
  <c r="G283" i="16"/>
  <c r="G284" i="16"/>
  <c r="G285" i="16"/>
  <c r="G286" i="16"/>
  <c r="G287" i="16"/>
  <c r="G288" i="16"/>
  <c r="G289" i="16"/>
  <c r="G290" i="16"/>
  <c r="G291" i="16"/>
  <c r="G292" i="16"/>
  <c r="G293" i="16"/>
  <c r="G294" i="16"/>
  <c r="G295" i="16"/>
  <c r="G296" i="16"/>
  <c r="G297" i="16"/>
  <c r="G298" i="16"/>
  <c r="G299" i="16"/>
  <c r="G300" i="16"/>
  <c r="G301" i="16"/>
  <c r="G302" i="16"/>
  <c r="G303" i="16"/>
  <c r="G304" i="16"/>
  <c r="G305" i="16"/>
  <c r="G306" i="16"/>
  <c r="G307" i="16"/>
  <c r="G308" i="16"/>
  <c r="G309" i="16"/>
  <c r="G310" i="16"/>
  <c r="G311" i="16"/>
  <c r="G312" i="16"/>
  <c r="G313" i="16"/>
  <c r="G314" i="16"/>
  <c r="G315" i="16"/>
  <c r="G316" i="16"/>
  <c r="G317" i="16"/>
  <c r="G318" i="16"/>
  <c r="G319" i="16"/>
  <c r="G320" i="16"/>
  <c r="G321" i="16"/>
  <c r="G322" i="16"/>
  <c r="G323" i="16"/>
  <c r="G324" i="16"/>
  <c r="G325" i="16"/>
  <c r="G326" i="16"/>
  <c r="G327" i="16"/>
  <c r="G328" i="16"/>
  <c r="G329" i="16"/>
  <c r="G330" i="16"/>
  <c r="G331" i="16"/>
  <c r="G332" i="16"/>
  <c r="G333" i="16"/>
  <c r="G334" i="16"/>
  <c r="G335" i="16"/>
  <c r="G336" i="16"/>
  <c r="G337" i="16"/>
  <c r="G338" i="16"/>
  <c r="G339" i="16"/>
  <c r="G340" i="16"/>
  <c r="G341" i="16"/>
  <c r="G342" i="16"/>
  <c r="G343" i="16"/>
  <c r="G344" i="16"/>
  <c r="G345" i="16"/>
  <c r="G346" i="16"/>
  <c r="G347" i="16"/>
  <c r="G348" i="16"/>
  <c r="G349" i="16"/>
  <c r="G350" i="16"/>
  <c r="G351" i="16"/>
  <c r="G352" i="16"/>
  <c r="G353" i="16"/>
  <c r="G354" i="16"/>
  <c r="G355" i="16"/>
  <c r="G356" i="16"/>
  <c r="G357" i="16"/>
  <c r="G358" i="16"/>
  <c r="G359" i="16"/>
  <c r="G360" i="16"/>
  <c r="G361" i="16"/>
  <c r="G362" i="16"/>
  <c r="G363" i="16"/>
  <c r="G364" i="16"/>
  <c r="G365" i="16"/>
  <c r="G366" i="16"/>
  <c r="G367" i="16"/>
  <c r="G368" i="16"/>
  <c r="G369" i="16"/>
  <c r="G370" i="16"/>
  <c r="G371" i="16"/>
  <c r="G372" i="16"/>
  <c r="G373" i="16"/>
  <c r="G374" i="16"/>
  <c r="G375" i="16"/>
  <c r="G376" i="16"/>
  <c r="G377" i="16"/>
  <c r="G378" i="16"/>
  <c r="G379" i="16"/>
  <c r="G380" i="16"/>
  <c r="G381" i="16"/>
  <c r="G382" i="16"/>
  <c r="G383" i="16"/>
  <c r="G384" i="16"/>
  <c r="G385" i="16"/>
  <c r="G386" i="16"/>
  <c r="G387" i="16"/>
  <c r="G388" i="16"/>
  <c r="G389" i="16"/>
  <c r="G390" i="16"/>
  <c r="G391" i="16"/>
  <c r="G392" i="16"/>
  <c r="G393" i="16"/>
  <c r="G394" i="16"/>
  <c r="G395" i="16"/>
  <c r="G396" i="16"/>
  <c r="G397" i="16"/>
  <c r="G398" i="16"/>
  <c r="G399" i="16"/>
  <c r="G400" i="16"/>
  <c r="G401" i="16"/>
  <c r="G402" i="16"/>
  <c r="G403" i="16"/>
  <c r="G404" i="16"/>
  <c r="G405" i="16"/>
  <c r="G406" i="16"/>
  <c r="G407" i="16"/>
  <c r="G408" i="16"/>
  <c r="G409" i="16"/>
  <c r="G410" i="16"/>
  <c r="G411" i="16"/>
  <c r="G412"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I102" i="16"/>
  <c r="I103" i="16"/>
  <c r="I104" i="16"/>
  <c r="I105" i="16"/>
  <c r="I106" i="16"/>
  <c r="I107" i="16"/>
  <c r="I108" i="16"/>
  <c r="I109" i="16"/>
  <c r="I110" i="16"/>
  <c r="I111" i="16"/>
  <c r="I112" i="16"/>
  <c r="I113" i="16"/>
  <c r="I114" i="16"/>
  <c r="I115" i="16"/>
  <c r="I116" i="16"/>
  <c r="I117" i="16"/>
  <c r="I118" i="16"/>
  <c r="I119" i="16"/>
  <c r="I120" i="16"/>
  <c r="I121" i="16"/>
  <c r="I122" i="16"/>
  <c r="I123" i="16"/>
  <c r="I124" i="16"/>
  <c r="I125" i="16"/>
  <c r="I126" i="16"/>
  <c r="I127" i="16"/>
  <c r="I128" i="16"/>
  <c r="I129" i="16"/>
  <c r="I130" i="16"/>
  <c r="I131" i="16"/>
  <c r="I132" i="16"/>
  <c r="I133" i="16"/>
  <c r="I134" i="16"/>
  <c r="I135" i="16"/>
  <c r="I136" i="16"/>
  <c r="I137" i="16"/>
  <c r="I138" i="16"/>
  <c r="I139" i="16"/>
  <c r="I140" i="16"/>
  <c r="I141" i="16"/>
  <c r="I142" i="16"/>
  <c r="I143" i="16"/>
  <c r="I144" i="16"/>
  <c r="I145" i="16"/>
  <c r="I146" i="16"/>
  <c r="I147" i="16"/>
  <c r="I148" i="16"/>
  <c r="I149" i="16"/>
  <c r="I150" i="16"/>
  <c r="I151" i="16"/>
  <c r="I152" i="16"/>
  <c r="I153" i="16"/>
  <c r="I154" i="16"/>
  <c r="I155" i="16"/>
  <c r="I156" i="16"/>
  <c r="I157" i="16"/>
  <c r="I158" i="16"/>
  <c r="I159" i="16"/>
  <c r="I160" i="16"/>
  <c r="I161" i="16"/>
  <c r="I162" i="16"/>
  <c r="I163" i="16"/>
  <c r="I164" i="16"/>
  <c r="I165" i="16"/>
  <c r="I166" i="16"/>
  <c r="I167" i="16"/>
  <c r="I168" i="16"/>
  <c r="I169" i="16"/>
  <c r="I170" i="16"/>
  <c r="I171" i="16"/>
  <c r="I172" i="16"/>
  <c r="I173" i="16"/>
  <c r="I174" i="16"/>
  <c r="I175" i="16"/>
  <c r="I176" i="16"/>
  <c r="I177" i="16"/>
  <c r="I178" i="16"/>
  <c r="I179" i="16"/>
  <c r="I180" i="16"/>
  <c r="I181" i="16"/>
  <c r="I182" i="16"/>
  <c r="I183" i="16"/>
  <c r="I184" i="16"/>
  <c r="I185" i="16"/>
  <c r="I186" i="16"/>
  <c r="I187" i="16"/>
  <c r="I188" i="16"/>
  <c r="I189" i="16"/>
  <c r="I190" i="16"/>
  <c r="I191" i="16"/>
  <c r="I192" i="16"/>
  <c r="I193" i="16"/>
  <c r="I194" i="16"/>
  <c r="I195" i="16"/>
  <c r="I196" i="16"/>
  <c r="I197" i="16"/>
  <c r="I198" i="16"/>
  <c r="I199" i="16"/>
  <c r="I200" i="16"/>
  <c r="I201" i="16"/>
  <c r="I202" i="16"/>
  <c r="I203" i="16"/>
  <c r="I204" i="16"/>
  <c r="I205" i="16"/>
  <c r="I206" i="16"/>
  <c r="I207" i="16"/>
  <c r="I208" i="16"/>
  <c r="I209" i="16"/>
  <c r="I210" i="16"/>
  <c r="I211" i="16"/>
  <c r="I212" i="16"/>
  <c r="I213" i="16"/>
  <c r="I214" i="16"/>
  <c r="I215" i="16"/>
  <c r="I216" i="16"/>
  <c r="I217" i="16"/>
  <c r="I218" i="16"/>
  <c r="I219" i="16"/>
  <c r="I220" i="16"/>
  <c r="I221" i="16"/>
  <c r="I222" i="16"/>
  <c r="I223" i="16"/>
  <c r="I224" i="16"/>
  <c r="I225" i="16"/>
  <c r="I226" i="16"/>
  <c r="I227" i="16"/>
  <c r="I228" i="16"/>
  <c r="I229" i="16"/>
  <c r="I230" i="16"/>
  <c r="I231" i="16"/>
  <c r="I232" i="16"/>
  <c r="I233" i="16"/>
  <c r="I234" i="16"/>
  <c r="I235" i="16"/>
  <c r="I236" i="16"/>
  <c r="I237" i="16"/>
  <c r="I238" i="16"/>
  <c r="I239" i="16"/>
  <c r="I240" i="16"/>
  <c r="I241" i="16"/>
  <c r="I242" i="16"/>
  <c r="I243" i="16"/>
  <c r="I244" i="16"/>
  <c r="I245" i="16"/>
  <c r="I246" i="16"/>
  <c r="I247" i="16"/>
  <c r="I248" i="16"/>
  <c r="I249" i="16"/>
  <c r="I250" i="16"/>
  <c r="I251" i="16"/>
  <c r="I252" i="16"/>
  <c r="I253" i="16"/>
  <c r="I254" i="16"/>
  <c r="I255" i="16"/>
  <c r="I256" i="16"/>
  <c r="I257" i="16"/>
  <c r="I258" i="16"/>
  <c r="I259" i="16"/>
  <c r="I260" i="16"/>
  <c r="I261" i="16"/>
  <c r="I262" i="16"/>
  <c r="I263" i="16"/>
  <c r="I264" i="16"/>
  <c r="I265" i="16"/>
  <c r="I266" i="16"/>
  <c r="I267" i="16"/>
  <c r="I268" i="16"/>
  <c r="I269" i="16"/>
  <c r="I270" i="16"/>
  <c r="I271" i="16"/>
  <c r="I272" i="16"/>
  <c r="I273" i="16"/>
  <c r="I274" i="16"/>
  <c r="I275" i="16"/>
  <c r="I276" i="16"/>
  <c r="I277" i="16"/>
  <c r="I278" i="16"/>
  <c r="I279" i="16"/>
  <c r="I280" i="16"/>
  <c r="I281" i="16"/>
  <c r="I282" i="16"/>
  <c r="I283" i="16"/>
  <c r="I284" i="16"/>
  <c r="I285" i="16"/>
  <c r="I286" i="16"/>
  <c r="I287" i="16"/>
  <c r="I288" i="16"/>
  <c r="I289" i="16"/>
  <c r="I290" i="16"/>
  <c r="I291" i="16"/>
  <c r="I292" i="16"/>
  <c r="I293" i="16"/>
  <c r="I294" i="16"/>
  <c r="I295" i="16"/>
  <c r="I296" i="16"/>
  <c r="I297" i="16"/>
  <c r="I298" i="16"/>
  <c r="I299" i="16"/>
  <c r="I300" i="16"/>
  <c r="I301" i="16"/>
  <c r="I302" i="16"/>
  <c r="I303" i="16"/>
  <c r="I304" i="16"/>
  <c r="I305" i="16"/>
  <c r="I306" i="16"/>
  <c r="I307" i="16"/>
  <c r="I308" i="16"/>
  <c r="I309" i="16"/>
  <c r="I310" i="16"/>
  <c r="I311" i="16"/>
  <c r="I312" i="16"/>
  <c r="I313" i="16"/>
  <c r="I314" i="16"/>
  <c r="I315" i="16"/>
  <c r="I316" i="16"/>
  <c r="I317" i="16"/>
  <c r="I318" i="16"/>
  <c r="I319" i="16"/>
  <c r="I320" i="16"/>
  <c r="I321" i="16"/>
  <c r="I322" i="16"/>
  <c r="I323" i="16"/>
  <c r="I324" i="16"/>
  <c r="I325" i="16"/>
  <c r="I326" i="16"/>
  <c r="I327" i="16"/>
  <c r="I328" i="16"/>
  <c r="I329" i="16"/>
  <c r="I330" i="16"/>
  <c r="I331" i="16"/>
  <c r="I332" i="16"/>
  <c r="I333" i="16"/>
  <c r="I334" i="16"/>
  <c r="I335" i="16"/>
  <c r="I336" i="16"/>
  <c r="I337" i="16"/>
  <c r="I338" i="16"/>
  <c r="I339" i="16"/>
  <c r="I340" i="16"/>
  <c r="I341" i="16"/>
  <c r="I342" i="16"/>
  <c r="I343" i="16"/>
  <c r="I344" i="16"/>
  <c r="I345" i="16"/>
  <c r="I346" i="16"/>
  <c r="I347" i="16"/>
  <c r="I348" i="16"/>
  <c r="I349" i="16"/>
  <c r="I350" i="16"/>
  <c r="I351" i="16"/>
  <c r="I352" i="16"/>
  <c r="I353" i="16"/>
  <c r="I354" i="16"/>
  <c r="I355" i="16"/>
  <c r="I356" i="16"/>
  <c r="I357" i="16"/>
  <c r="I358" i="16"/>
  <c r="I359" i="16"/>
  <c r="I360" i="16"/>
  <c r="I361" i="16"/>
  <c r="I362" i="16"/>
  <c r="I363" i="16"/>
  <c r="I364" i="16"/>
  <c r="I365" i="16"/>
  <c r="I366" i="16"/>
  <c r="I367" i="16"/>
  <c r="I368" i="16"/>
  <c r="I369" i="16"/>
  <c r="I370" i="16"/>
  <c r="I371" i="16"/>
  <c r="I372" i="16"/>
  <c r="I373" i="16"/>
  <c r="I374" i="16"/>
  <c r="I375" i="16"/>
  <c r="I376" i="16"/>
  <c r="I377" i="16"/>
  <c r="I378" i="16"/>
  <c r="I379" i="16"/>
  <c r="I380" i="16"/>
  <c r="I381" i="16"/>
  <c r="I382" i="16"/>
  <c r="I383" i="16"/>
  <c r="I384" i="16"/>
  <c r="I385" i="16"/>
  <c r="I386" i="16"/>
  <c r="I387" i="16"/>
  <c r="I388" i="16"/>
  <c r="I389" i="16"/>
  <c r="I390" i="16"/>
  <c r="I391" i="16"/>
  <c r="I392" i="16"/>
  <c r="I393" i="16"/>
  <c r="I394" i="16"/>
  <c r="I395" i="16"/>
  <c r="I396" i="16"/>
  <c r="I397" i="16"/>
  <c r="I398" i="16"/>
  <c r="I399" i="16"/>
  <c r="I400" i="16"/>
  <c r="I401" i="16"/>
  <c r="I402" i="16"/>
  <c r="I403" i="16"/>
  <c r="I404" i="16"/>
  <c r="I405" i="16"/>
  <c r="I406" i="16"/>
  <c r="I407" i="16"/>
  <c r="I408" i="16"/>
  <c r="I409" i="16"/>
  <c r="I410" i="16"/>
  <c r="I411" i="16"/>
  <c r="I412" i="16"/>
  <c r="I130" i="4"/>
  <c r="J130" i="4" s="1"/>
  <c r="K130" i="4" s="1"/>
  <c r="L130" i="4" s="1"/>
  <c r="M130" i="4" s="1"/>
  <c r="N130" i="4" s="1"/>
  <c r="I122" i="4"/>
  <c r="J122" i="4" s="1"/>
  <c r="K122" i="4" s="1"/>
  <c r="L122" i="4" s="1"/>
  <c r="M122" i="4" s="1"/>
  <c r="N122" i="4" s="1"/>
  <c r="I114" i="4"/>
  <c r="J114" i="4" s="1"/>
  <c r="K114" i="4" s="1"/>
  <c r="L114" i="4" s="1"/>
  <c r="M114" i="4" s="1"/>
  <c r="N114" i="4" s="1"/>
  <c r="I106" i="4"/>
  <c r="J106" i="4" s="1"/>
  <c r="K106" i="4" s="1"/>
  <c r="L106" i="4" s="1"/>
  <c r="M106" i="4" s="1"/>
  <c r="N106" i="4" s="1"/>
  <c r="I98" i="4"/>
  <c r="J98" i="4" s="1"/>
  <c r="K98" i="4" s="1"/>
  <c r="L98" i="4" s="1"/>
  <c r="M98" i="4" s="1"/>
  <c r="N98" i="4" s="1"/>
  <c r="I90" i="4"/>
  <c r="J90" i="4" s="1"/>
  <c r="K90" i="4" s="1"/>
  <c r="L90" i="4" s="1"/>
  <c r="M90" i="4" s="1"/>
  <c r="N90" i="4" s="1"/>
  <c r="I82" i="4"/>
  <c r="J82" i="4" s="1"/>
  <c r="K82" i="4" s="1"/>
  <c r="L82" i="4" s="1"/>
  <c r="M82" i="4" s="1"/>
  <c r="N82" i="4" s="1"/>
  <c r="I74" i="4"/>
  <c r="J74" i="4" s="1"/>
  <c r="K74" i="4" s="1"/>
  <c r="L74" i="4" s="1"/>
  <c r="M74" i="4" s="1"/>
  <c r="N74" i="4" s="1"/>
  <c r="I66" i="4"/>
  <c r="J66" i="4" s="1"/>
  <c r="K66" i="4" s="1"/>
  <c r="L66" i="4" s="1"/>
  <c r="M66" i="4" s="1"/>
  <c r="N66" i="4" s="1"/>
  <c r="I58" i="4"/>
  <c r="J58" i="4" s="1"/>
  <c r="K58" i="4" s="1"/>
  <c r="L58" i="4" s="1"/>
  <c r="M58" i="4" s="1"/>
  <c r="N58" i="4" s="1"/>
  <c r="I50" i="4"/>
  <c r="J50" i="4" s="1"/>
  <c r="K50" i="4" s="1"/>
  <c r="L50" i="4" s="1"/>
  <c r="M50" i="4" s="1"/>
  <c r="N50" i="4" s="1"/>
  <c r="K117" i="2"/>
  <c r="B117" i="2"/>
  <c r="K116" i="2"/>
  <c r="B116" i="2"/>
  <c r="K114" i="2"/>
  <c r="AA113" i="2"/>
  <c r="Z113" i="2"/>
  <c r="Y113" i="2"/>
  <c r="X113" i="2"/>
  <c r="W113" i="2"/>
  <c r="K110" i="2"/>
  <c r="B110" i="2"/>
  <c r="K109" i="2"/>
  <c r="B109" i="2"/>
  <c r="K107" i="2"/>
  <c r="AA106" i="2"/>
  <c r="Z106" i="2"/>
  <c r="Y106" i="2"/>
  <c r="X106" i="2"/>
  <c r="W106" i="2"/>
  <c r="K103" i="2"/>
  <c r="B103" i="2"/>
  <c r="K102" i="2"/>
  <c r="B102" i="2"/>
  <c r="K100" i="2"/>
  <c r="AA99" i="2"/>
  <c r="Z99" i="2"/>
  <c r="Y99" i="2"/>
  <c r="X99" i="2"/>
  <c r="W99" i="2"/>
  <c r="K96" i="2"/>
  <c r="B96" i="2"/>
  <c r="K95" i="2"/>
  <c r="B95" i="2"/>
  <c r="K93" i="2"/>
  <c r="AA92" i="2"/>
  <c r="Z92" i="2"/>
  <c r="Y92" i="2"/>
  <c r="X92" i="2"/>
  <c r="W92" i="2"/>
  <c r="K89" i="2"/>
  <c r="B89" i="2"/>
  <c r="K88" i="2"/>
  <c r="B88" i="2"/>
  <c r="K86" i="2"/>
  <c r="AA85" i="2"/>
  <c r="Z85" i="2"/>
  <c r="Y85" i="2"/>
  <c r="X85" i="2"/>
  <c r="W85" i="2"/>
  <c r="K82" i="2"/>
  <c r="B82" i="2"/>
  <c r="K81" i="2"/>
  <c r="B81" i="2"/>
  <c r="K79" i="2"/>
  <c r="AA78" i="2"/>
  <c r="Z78" i="2"/>
  <c r="Y78" i="2"/>
  <c r="X78" i="2"/>
  <c r="W78" i="2"/>
  <c r="K75" i="2"/>
  <c r="B75" i="2"/>
  <c r="K74" i="2"/>
  <c r="B74" i="2"/>
  <c r="K72" i="2"/>
  <c r="AA71" i="2"/>
  <c r="Z71" i="2"/>
  <c r="Y71" i="2"/>
  <c r="X71" i="2"/>
  <c r="W71" i="2"/>
  <c r="K68" i="2"/>
  <c r="B68" i="2"/>
  <c r="K67" i="2"/>
  <c r="B67" i="2"/>
  <c r="K65" i="2"/>
  <c r="AA64" i="2"/>
  <c r="Z64" i="2"/>
  <c r="Y64" i="2"/>
  <c r="X64" i="2"/>
  <c r="W64" i="2"/>
  <c r="K61" i="2"/>
  <c r="B61" i="2"/>
  <c r="K60" i="2"/>
  <c r="B60" i="2"/>
  <c r="K58" i="2"/>
  <c r="AA57" i="2"/>
  <c r="Z57" i="2"/>
  <c r="Y57" i="2"/>
  <c r="X57" i="2"/>
  <c r="W57" i="2"/>
  <c r="K54" i="2"/>
  <c r="B54" i="2"/>
  <c r="K53" i="2"/>
  <c r="B53" i="2"/>
  <c r="K51" i="2"/>
  <c r="AA50" i="2"/>
  <c r="Z50" i="2"/>
  <c r="Y50" i="2"/>
  <c r="X50" i="2"/>
  <c r="W50" i="2"/>
  <c r="K47" i="2"/>
  <c r="B47" i="2"/>
  <c r="K46" i="2"/>
  <c r="B46" i="2"/>
  <c r="K44" i="2"/>
  <c r="AA43" i="2"/>
  <c r="Z43" i="2"/>
  <c r="Y43" i="2"/>
  <c r="X43" i="2"/>
  <c r="W43" i="2"/>
  <c r="K40" i="2"/>
  <c r="B24" i="7"/>
  <c r="L14" i="7" l="1"/>
  <c r="L13" i="7"/>
  <c r="L12" i="7"/>
  <c r="L10" i="7" l="1"/>
  <c r="K62" i="22"/>
  <c r="J63" i="22"/>
  <c r="M63" i="22" s="1"/>
  <c r="J64" i="22"/>
  <c r="M64" i="22" s="1"/>
  <c r="J62" i="22"/>
  <c r="M62" i="22" s="1"/>
  <c r="K54" i="22"/>
  <c r="K55" i="22"/>
  <c r="M55" i="22" s="1"/>
  <c r="K53" i="22"/>
  <c r="Q54" i="22" l="1"/>
  <c r="M54" i="22"/>
  <c r="Q62" i="22"/>
  <c r="W62" i="22"/>
  <c r="M53" i="22"/>
  <c r="E44" i="22" s="1"/>
  <c r="Q53" i="22"/>
  <c r="W53" i="22"/>
  <c r="Q55" i="22"/>
  <c r="W55" i="22"/>
  <c r="W54" i="22"/>
  <c r="B11" i="21"/>
  <c r="B10" i="21"/>
  <c r="B9" i="21"/>
  <c r="B8" i="21"/>
  <c r="R9" i="16" l="1"/>
  <c r="P9" i="16"/>
  <c r="R8" i="16"/>
  <c r="P8" i="16"/>
  <c r="R7" i="16"/>
  <c r="P7" i="16"/>
  <c r="R6" i="16"/>
  <c r="P6" i="16"/>
  <c r="W36" i="2"/>
  <c r="D23" i="17" l="1"/>
  <c r="C12" i="17"/>
  <c r="C23" i="17"/>
  <c r="D12" i="17"/>
  <c r="C21" i="17"/>
  <c r="D21" i="17"/>
  <c r="B8" i="4"/>
  <c r="O9" i="16" l="1"/>
  <c r="M9" i="16"/>
  <c r="O8" i="16"/>
  <c r="N8" i="16"/>
  <c r="M8" i="16"/>
  <c r="O7" i="16"/>
  <c r="M7" i="16"/>
  <c r="O6" i="16"/>
  <c r="M6" i="16"/>
  <c r="C7" i="17" l="1"/>
  <c r="D7" i="17"/>
  <c r="D22" i="17"/>
  <c r="C22" i="17"/>
  <c r="C20" i="17"/>
  <c r="C8" i="17"/>
  <c r="D8" i="17"/>
  <c r="D20" i="17"/>
  <c r="L11" i="7"/>
  <c r="K63" i="22"/>
  <c r="K64" i="22"/>
  <c r="B25" i="7"/>
  <c r="B26" i="7"/>
  <c r="B30" i="2"/>
  <c r="B25" i="2"/>
  <c r="B20" i="2"/>
  <c r="Q64" i="22" l="1"/>
  <c r="W64" i="22"/>
  <c r="Q63" i="22"/>
  <c r="W63" i="22"/>
  <c r="H61" i="22"/>
  <c r="F61" i="22"/>
  <c r="D61" i="22"/>
  <c r="H33" i="22"/>
  <c r="R21" i="22"/>
  <c r="R34" i="22" s="1"/>
  <c r="H21" i="22"/>
  <c r="H34" i="22" s="1"/>
  <c r="M4" i="21"/>
  <c r="J21" i="22" s="1"/>
  <c r="M6" i="21"/>
  <c r="J34" i="22" s="1"/>
  <c r="L6" i="21"/>
  <c r="P38" i="22"/>
  <c r="Q38" i="22" s="1"/>
  <c r="E38" i="22" s="1"/>
  <c r="B22" i="10" s="1"/>
  <c r="P37" i="22"/>
  <c r="Q37" i="22" s="1"/>
  <c r="E37" i="22" s="1"/>
  <c r="B19" i="10" s="1"/>
  <c r="P34" i="22"/>
  <c r="P24" i="22"/>
  <c r="Q24" i="22" s="1"/>
  <c r="E24" i="22" s="1"/>
  <c r="P21" i="22"/>
  <c r="B18" i="10" l="1"/>
  <c r="S21" i="22"/>
  <c r="S34" i="22"/>
  <c r="Q34" i="22"/>
  <c r="Q21" i="22"/>
  <c r="P25" i="22"/>
  <c r="J25" i="22"/>
  <c r="J24" i="22"/>
  <c r="J37" i="22"/>
  <c r="J38" i="22"/>
  <c r="Q25" i="22" l="1"/>
  <c r="E25" i="22" s="1"/>
  <c r="E20" i="22"/>
  <c r="B21" i="10" l="1"/>
  <c r="B15" i="10"/>
  <c r="E33" i="22"/>
  <c r="B16" i="10" s="1"/>
  <c r="B40" i="2"/>
  <c r="B39" i="2"/>
  <c r="K39" i="2"/>
  <c r="L9" i="7"/>
  <c r="L8" i="7"/>
  <c r="D7" i="21"/>
  <c r="L4" i="21"/>
  <c r="N6" i="16" l="1"/>
  <c r="G13" i="16"/>
  <c r="Q9" i="16"/>
  <c r="N9" i="16"/>
  <c r="D23" i="21"/>
  <c r="J6" i="21"/>
  <c r="J4" i="21"/>
  <c r="J5" i="21"/>
  <c r="J3" i="21"/>
  <c r="K37" i="2"/>
  <c r="F6" i="21"/>
  <c r="F5" i="21"/>
  <c r="F4" i="21"/>
  <c r="F3" i="21"/>
  <c r="H6" i="21"/>
  <c r="H5" i="21"/>
  <c r="H4" i="21"/>
  <c r="H3" i="21"/>
  <c r="D6" i="21"/>
  <c r="D5" i="21"/>
  <c r="D4" i="21"/>
  <c r="D3" i="21"/>
  <c r="I2" i="9"/>
  <c r="J2" i="9" s="1"/>
  <c r="K2" i="9" s="1"/>
  <c r="L2" i="9" s="1"/>
  <c r="M2" i="9" s="1"/>
  <c r="N2" i="9" s="1"/>
  <c r="I42" i="4"/>
  <c r="J42" i="4" s="1"/>
  <c r="K42" i="4" s="1"/>
  <c r="L42" i="4" s="1"/>
  <c r="M42" i="4" s="1"/>
  <c r="N42" i="4" s="1"/>
  <c r="B12" i="2"/>
  <c r="M7" i="9"/>
  <c r="L7" i="9"/>
  <c r="K7" i="9"/>
  <c r="B2" i="22" l="1"/>
  <c r="B3" i="7"/>
  <c r="N7" i="16"/>
  <c r="Q7" i="16"/>
  <c r="Q8" i="16"/>
  <c r="C13" i="17" s="1"/>
  <c r="Q6" i="16"/>
  <c r="E46" i="22"/>
  <c r="E45" i="22"/>
  <c r="B3" i="4"/>
  <c r="B3" i="2"/>
  <c r="B20" i="10" l="1"/>
  <c r="I14" i="7"/>
  <c r="B17" i="10"/>
  <c r="I13" i="7"/>
  <c r="B14" i="10"/>
  <c r="I12" i="7"/>
  <c r="D13" i="17"/>
  <c r="H20" i="2"/>
  <c r="H30" i="2"/>
  <c r="H24" i="2"/>
  <c r="H19" i="2"/>
  <c r="H25" i="2"/>
  <c r="H29" i="2"/>
  <c r="M32" i="16"/>
  <c r="N31" i="16"/>
  <c r="M31" i="16"/>
  <c r="M29" i="16"/>
  <c r="N28" i="16"/>
  <c r="M28" i="16"/>
  <c r="N26" i="16"/>
  <c r="M26" i="16"/>
  <c r="N25" i="16"/>
  <c r="M25" i="16"/>
  <c r="N32" i="16"/>
  <c r="I13" i="16"/>
  <c r="H133" i="4" l="1"/>
  <c r="H68" i="4"/>
  <c r="H124" i="4"/>
  <c r="H77" i="4"/>
  <c r="H61" i="4"/>
  <c r="H117" i="4"/>
  <c r="H53" i="4"/>
  <c r="H116" i="4"/>
  <c r="H52" i="4"/>
  <c r="H132" i="4"/>
  <c r="H125" i="4"/>
  <c r="H101" i="4"/>
  <c r="H100" i="4"/>
  <c r="H76" i="4"/>
  <c r="H60" i="4"/>
  <c r="H85" i="4"/>
  <c r="H84" i="4"/>
  <c r="H109" i="4"/>
  <c r="H108" i="4"/>
  <c r="H93" i="4"/>
  <c r="H92" i="4"/>
  <c r="H69" i="4"/>
  <c r="H31" i="2"/>
  <c r="AA31" i="2" s="1"/>
  <c r="V37" i="4" s="1"/>
  <c r="H26" i="2"/>
  <c r="AA26" i="2" s="1"/>
  <c r="V27" i="4" s="1"/>
  <c r="H21" i="2"/>
  <c r="AA21" i="2" s="1"/>
  <c r="V18" i="4" s="1"/>
  <c r="D15" i="17"/>
  <c r="D25" i="17" s="1"/>
  <c r="C16" i="17"/>
  <c r="D16" i="17"/>
  <c r="N29" i="16"/>
  <c r="C15" i="17"/>
  <c r="B88" i="4" l="1"/>
  <c r="P86" i="4"/>
  <c r="B86" i="4"/>
  <c r="O88" i="4"/>
  <c r="B87" i="4"/>
  <c r="P88" i="4"/>
  <c r="L63" i="4"/>
  <c r="M63" i="4"/>
  <c r="K63" i="4"/>
  <c r="N63" i="4"/>
  <c r="P63" i="4"/>
  <c r="I63" i="4"/>
  <c r="J63" i="4"/>
  <c r="P103" i="4"/>
  <c r="M103" i="4"/>
  <c r="J103" i="4"/>
  <c r="K103" i="4"/>
  <c r="I103" i="4"/>
  <c r="L103" i="4"/>
  <c r="N103" i="4"/>
  <c r="O104" i="4"/>
  <c r="B103" i="4"/>
  <c r="P104" i="4"/>
  <c r="B104" i="4"/>
  <c r="P102" i="4"/>
  <c r="B102" i="4"/>
  <c r="B71" i="4"/>
  <c r="B70" i="4"/>
  <c r="B72" i="4"/>
  <c r="O72" i="4"/>
  <c r="P70" i="4"/>
  <c r="P72" i="4"/>
  <c r="N135" i="4"/>
  <c r="P135" i="4"/>
  <c r="L135" i="4"/>
  <c r="K135" i="4"/>
  <c r="J135" i="4"/>
  <c r="I135" i="4"/>
  <c r="M135" i="4"/>
  <c r="B96" i="4"/>
  <c r="P96" i="4"/>
  <c r="O96" i="4"/>
  <c r="B95" i="4"/>
  <c r="P94" i="4"/>
  <c r="B94" i="4"/>
  <c r="P119" i="4"/>
  <c r="N119" i="4"/>
  <c r="J119" i="4"/>
  <c r="K119" i="4"/>
  <c r="L119" i="4"/>
  <c r="M119" i="4"/>
  <c r="I119" i="4"/>
  <c r="P87" i="4"/>
  <c r="M87" i="4"/>
  <c r="K87" i="4"/>
  <c r="J87" i="4"/>
  <c r="L87" i="4"/>
  <c r="N87" i="4"/>
  <c r="I87" i="4"/>
  <c r="P127" i="4"/>
  <c r="J127" i="4"/>
  <c r="M127" i="4"/>
  <c r="L127" i="4"/>
  <c r="K127" i="4"/>
  <c r="I127" i="4"/>
  <c r="N127" i="4"/>
  <c r="M79" i="4"/>
  <c r="K79" i="4"/>
  <c r="J79" i="4"/>
  <c r="I79" i="4"/>
  <c r="N79" i="4"/>
  <c r="P79" i="4"/>
  <c r="L79" i="4"/>
  <c r="B126" i="4"/>
  <c r="B127" i="4"/>
  <c r="P126" i="4"/>
  <c r="P128" i="4"/>
  <c r="O128" i="4"/>
  <c r="B128" i="4"/>
  <c r="P95" i="4"/>
  <c r="I95" i="4"/>
  <c r="J95" i="4"/>
  <c r="K95" i="4"/>
  <c r="L95" i="4"/>
  <c r="M95" i="4"/>
  <c r="N95" i="4"/>
  <c r="P55" i="4"/>
  <c r="J55" i="4"/>
  <c r="L55" i="4"/>
  <c r="K55" i="4"/>
  <c r="M55" i="4"/>
  <c r="I55" i="4"/>
  <c r="N55" i="4"/>
  <c r="P111" i="4"/>
  <c r="I111" i="4"/>
  <c r="K111" i="4"/>
  <c r="L111" i="4"/>
  <c r="N111" i="4"/>
  <c r="J111" i="4"/>
  <c r="M111" i="4"/>
  <c r="B55" i="4"/>
  <c r="P54" i="4"/>
  <c r="B54" i="4"/>
  <c r="P56" i="4"/>
  <c r="O56" i="4"/>
  <c r="B56" i="4"/>
  <c r="P112" i="4"/>
  <c r="B110" i="4"/>
  <c r="B112" i="4"/>
  <c r="P110" i="4"/>
  <c r="O112" i="4"/>
  <c r="B111" i="4"/>
  <c r="B120" i="4"/>
  <c r="O120" i="4"/>
  <c r="B118" i="4"/>
  <c r="P118" i="4"/>
  <c r="B119" i="4"/>
  <c r="P120" i="4"/>
  <c r="B64" i="4"/>
  <c r="B62" i="4"/>
  <c r="P62" i="4"/>
  <c r="O64" i="4"/>
  <c r="B63" i="4"/>
  <c r="P64" i="4"/>
  <c r="B80" i="4"/>
  <c r="B79" i="4"/>
  <c r="P78" i="4"/>
  <c r="P80" i="4"/>
  <c r="O80" i="4"/>
  <c r="B78" i="4"/>
  <c r="N71" i="4"/>
  <c r="P71" i="4"/>
  <c r="M71" i="4"/>
  <c r="L71" i="4"/>
  <c r="K71" i="4"/>
  <c r="J71" i="4"/>
  <c r="I71" i="4"/>
  <c r="P136" i="4"/>
  <c r="B134" i="4"/>
  <c r="P134" i="4"/>
  <c r="O136" i="4"/>
  <c r="B136" i="4"/>
  <c r="B135" i="4"/>
  <c r="H44" i="4"/>
  <c r="C25" i="17"/>
  <c r="C28" i="17"/>
  <c r="B8" i="10" s="1"/>
  <c r="D18" i="17"/>
  <c r="C18" i="17"/>
  <c r="F136" i="4" l="1"/>
  <c r="G134" i="4"/>
  <c r="G62" i="4"/>
  <c r="H63" i="4"/>
  <c r="F64" i="4"/>
  <c r="F112" i="4"/>
  <c r="G110" i="4"/>
  <c r="H111" i="4"/>
  <c r="F88" i="4"/>
  <c r="G86" i="4"/>
  <c r="H87" i="4"/>
  <c r="F56" i="4"/>
  <c r="G54" i="4"/>
  <c r="H55" i="4"/>
  <c r="G94" i="4"/>
  <c r="H95" i="4"/>
  <c r="F96" i="4"/>
  <c r="G102" i="4"/>
  <c r="F104" i="4"/>
  <c r="H103" i="4"/>
  <c r="F128" i="4"/>
  <c r="G126" i="4"/>
  <c r="H127" i="4"/>
  <c r="F80" i="4"/>
  <c r="G78" i="4"/>
  <c r="H79" i="4"/>
  <c r="F72" i="4"/>
  <c r="G70" i="4"/>
  <c r="H71" i="4"/>
  <c r="F120" i="4"/>
  <c r="G118" i="4"/>
  <c r="H119" i="4"/>
  <c r="H135" i="4"/>
  <c r="C29" i="17"/>
  <c r="B9" i="10" s="1"/>
  <c r="I11" i="7" l="1"/>
  <c r="AA36" i="2" l="1"/>
  <c r="Z36" i="2"/>
  <c r="Y36" i="2"/>
  <c r="H45" i="4" s="1"/>
  <c r="X36" i="2"/>
  <c r="P48" i="4" l="1"/>
  <c r="B48" i="4"/>
  <c r="B46" i="4"/>
  <c r="P47" i="4"/>
  <c r="H27" i="4"/>
  <c r="B7" i="10" s="1"/>
  <c r="H18" i="4"/>
  <c r="B4" i="10" s="1"/>
  <c r="H37" i="4"/>
  <c r="B12" i="10" s="1"/>
  <c r="N7" i="9"/>
  <c r="J7" i="9"/>
  <c r="I7" i="9"/>
  <c r="B6" i="9"/>
  <c r="B7" i="9"/>
  <c r="P6" i="9"/>
  <c r="P7" i="9"/>
  <c r="H38" i="4" l="1"/>
  <c r="H28" i="4"/>
  <c r="J47" i="4"/>
  <c r="L47" i="4"/>
  <c r="M47" i="4"/>
  <c r="N47" i="4"/>
  <c r="I47" i="4"/>
  <c r="K47" i="4"/>
  <c r="B47" i="4"/>
  <c r="P46" i="4"/>
  <c r="O48" i="4"/>
  <c r="G6" i="9"/>
  <c r="H7" i="9"/>
  <c r="G46" i="4" l="1"/>
  <c r="H47" i="4"/>
  <c r="H32" i="4"/>
  <c r="H14" i="4"/>
  <c r="H23" i="4"/>
  <c r="F48" i="4"/>
  <c r="H13" i="4"/>
  <c r="H31" i="4"/>
  <c r="B2" i="10" l="1"/>
  <c r="B10" i="10"/>
  <c r="H33" i="4"/>
  <c r="H22" i="4"/>
  <c r="B5" i="10" s="1"/>
  <c r="H15" i="4"/>
  <c r="H17" i="4" s="1"/>
  <c r="H36" i="4" l="1"/>
  <c r="V36" i="4" s="1"/>
  <c r="H34" i="4"/>
  <c r="I10" i="7" s="1"/>
  <c r="H19" i="4"/>
  <c r="I8" i="7" s="1"/>
  <c r="B3" i="10"/>
  <c r="I9" i="7"/>
  <c r="V17" i="4"/>
  <c r="H24" i="4"/>
  <c r="B11" i="10" l="1"/>
  <c r="H26" i="4"/>
  <c r="B6" i="10" s="1"/>
  <c r="L16" i="7"/>
  <c r="B13" i="10"/>
  <c r="V26" i="4" l="1"/>
  <c r="Y16" i="7"/>
  <c r="I16" i="7"/>
  <c r="B18" i="7" l="1"/>
  <c r="X22" i="7"/>
  <c r="X26" i="7"/>
  <c r="X25" i="7" s="1"/>
  <c r="Y25" i="7" l="1"/>
  <c r="I28" i="7"/>
  <c r="I30" i="7" s="1"/>
  <c r="L30" i="7" s="1"/>
  <c r="L28" i="7" l="1"/>
  <c r="K28" i="7"/>
</calcChain>
</file>

<file path=xl/sharedStrings.xml><?xml version="1.0" encoding="utf-8"?>
<sst xmlns="http://schemas.openxmlformats.org/spreadsheetml/2006/main" count="1531" uniqueCount="255">
  <si>
    <t>Energiekostenzuschuss</t>
  </si>
  <si>
    <t>Version</t>
  </si>
  <si>
    <t>Bitte befüllen Sie ausschließlich die blau umrandeten Eingabefelder!</t>
  </si>
  <si>
    <t>Ihre firmeninterne Referenz</t>
  </si>
  <si>
    <t>i</t>
  </si>
  <si>
    <t>Firmenwortlaut, internes Aktenkennzeichen, o.ä.</t>
  </si>
  <si>
    <t>Zählpunkt</t>
  </si>
  <si>
    <t>Die Zählpunktnummer beginnt mit AT und kann der Abrechnung entnommen werden. Bitte geben Sie nur die letzten vier Stellen Ihrer Zählpunktnummer an.</t>
  </si>
  <si>
    <t>Lastprofilzähler oder genormtes intelligentes Messgerät verfügbar</t>
  </si>
  <si>
    <t>Ja</t>
  </si>
  <si>
    <t>Energieart</t>
  </si>
  <si>
    <t>Bitte geben Sie die jeweilige Energieart an.</t>
  </si>
  <si>
    <t>EUR</t>
  </si>
  <si>
    <t>kWh</t>
  </si>
  <si>
    <t>Nein</t>
  </si>
  <si>
    <t>Strom</t>
  </si>
  <si>
    <t>Summe der Nettorechnungsbeträge aller Zählpunkte</t>
  </si>
  <si>
    <t>Errechneter Durchschnittsarbeitspreis aller Zählpunkte</t>
  </si>
  <si>
    <t>Erdgas</t>
  </si>
  <si>
    <t>Schritt 2: Berechnung des Durchschnittsarbeitspreises im Förderungszeitraum und der Preissteigerung</t>
  </si>
  <si>
    <r>
      <t xml:space="preserve">Zählpunktnummer (die </t>
    </r>
    <r>
      <rPr>
        <b/>
        <sz val="11"/>
        <color rgb="FF000066"/>
        <rFont val="Trebuchet MS"/>
        <family val="2"/>
        <scheme val="minor"/>
      </rPr>
      <t>letzten</t>
    </r>
    <r>
      <rPr>
        <sz val="11"/>
        <color rgb="FF000066"/>
        <rFont val="Trebuchet MS"/>
        <family val="2"/>
        <scheme val="minor"/>
      </rPr>
      <t xml:space="preserve"> vier Stellen)</t>
    </r>
  </si>
  <si>
    <t>Bitte geben Sie nur die letzten vier Stellen Ihrer Zählpunktnummer an.</t>
  </si>
  <si>
    <t>Stromverbrauch aller Zählpunkte ohne Lastprofilzähler in kWh</t>
  </si>
  <si>
    <t>Der förderungsfähige Stromverbrauch ist für Zählpunkte ohne Lastprofilzähler mit 1.000.000 kWh begrenzt.</t>
  </si>
  <si>
    <t>Stromverbrauch aller Zählpunkte mit Lastprofilzähler in kWh</t>
  </si>
  <si>
    <t>Stromverbrauch aller Zählpunkte in kWh</t>
  </si>
  <si>
    <t>Errechneter Durchschnittsarbeitspreis im Förderungszeitraum</t>
  </si>
  <si>
    <t>Der Arbeitspreis bezeichnet die Kosten für die verbrauchten Kilowattstunden (kWh) Strom (exkl. Gebühren, Steuern, Abgaben, Netzentgelte).</t>
  </si>
  <si>
    <t xml:space="preserve"> - Errechneter Durchschnittsarbeitspreis im Vergleichszeitraum</t>
  </si>
  <si>
    <t xml:space="preserve"> = Preissteigerung des Durchschnittsarbeitspreises</t>
  </si>
  <si>
    <t>Erdgasverbrauch aller Zählpunkte ohne Lastprofilzähler in kWh</t>
  </si>
  <si>
    <t>Der förderungsfähige Erdgasverbrauch ist für Zählpunkte ohne Lastprofilzähler mit 1.000.000 kWh begrenzt.</t>
  </si>
  <si>
    <t>Erdgasverbrauch aller Zählpunkte mit Lastprofilzähler in kWh</t>
  </si>
  <si>
    <t>Erdgasverbrauch aller Zählpunkte in kWh</t>
  </si>
  <si>
    <t>Der Arbeitspreis bezeichnet die Kosten für die verbrauchten Kilowattstunden (kWh) Erdgas (exkl. Gebühren, Steuern, Abgaben, Netzentgelte).</t>
  </si>
  <si>
    <t>Benzin</t>
  </si>
  <si>
    <t>Diesel</t>
  </si>
  <si>
    <t>Ihr Zuschuss:</t>
  </si>
  <si>
    <t>Treibstoffe</t>
  </si>
  <si>
    <t>Ihr möglicher Gesamtzuschuss</t>
  </si>
  <si>
    <t>Field</t>
  </si>
  <si>
    <t>Value</t>
  </si>
  <si>
    <t>Validation</t>
  </si>
  <si>
    <t>AceStromverbrauchimfoerderzeitraum</t>
  </si>
  <si>
    <t>Berechnungsart</t>
  </si>
  <si>
    <t>AceDurchschnittspreisstromzeitraum</t>
  </si>
  <si>
    <t>Kontrollfeld</t>
  </si>
  <si>
    <t>AceDurchschnittspreisstromvergleich</t>
  </si>
  <si>
    <t>AceGasverbrauchzeitraum</t>
  </si>
  <si>
    <t>AceDurchschnittspreisgaszeitraum</t>
  </si>
  <si>
    <t>AceDurchschnittspreisgasvergleich</t>
  </si>
  <si>
    <t>AceTreibstoffverbrauchzeitraum</t>
  </si>
  <si>
    <t>AceDurchschnittspreistreibstoffezeitraum</t>
  </si>
  <si>
    <t>Wärme/Kälte</t>
  </si>
  <si>
    <t>Wärme-/Kälteverbrauch aller Zählpunkte ohne Lastprofilzähler in kWh</t>
  </si>
  <si>
    <t>Wärme-/Kälteverbrauch aller Zählpunkte mit Lastprofilzähler in kWh</t>
  </si>
  <si>
    <t>Wärme-/Kälteverbrauch aller Zählpunkte in kWh</t>
  </si>
  <si>
    <t>AceWaermeundkaelteverbrauchzeitraum</t>
  </si>
  <si>
    <t>AceDurchschnittspreiswkvergleich</t>
  </si>
  <si>
    <t>AceDurchschnittspreiswkzeitraum</t>
  </si>
  <si>
    <t>AceEnergiemixanteilstromerdgas</t>
  </si>
  <si>
    <t>Errechneter Durchschnitt des Energiemixes</t>
  </si>
  <si>
    <t>Förderungsfähiger Preis pro Liter für Treibstoffe in EUR</t>
  </si>
  <si>
    <t>Rechnungsnr.</t>
  </si>
  <si>
    <t>Rechnungsdatum</t>
  </si>
  <si>
    <t>Treibstoffart (Diesel/Benzin)</t>
  </si>
  <si>
    <t>Bruttobetrag in EUR</t>
  </si>
  <si>
    <t>Nettobetrag in EUR</t>
  </si>
  <si>
    <t>Menge in Liter</t>
  </si>
  <si>
    <t>Bruttopreis/Liter</t>
  </si>
  <si>
    <t>Darstellung/Aufbereitung der Treibstoffpreise</t>
  </si>
  <si>
    <t>Nicht vorsteuerabzugsberichtige Treibstoffkosten</t>
  </si>
  <si>
    <t xml:space="preserve">Treibstoffverbrauch im Förderzeitraum in Liter </t>
  </si>
  <si>
    <t>Der Treibstoffverbrauch im förderungsfähigen Zeitraum.</t>
  </si>
  <si>
    <t xml:space="preserve">Vorsteuerabzugsberichtigte Treibstoffkosten </t>
  </si>
  <si>
    <t>Gesamtverbrauch im Förderzeitraum in Liter</t>
  </si>
  <si>
    <t>Gesamtkosten (exkl. abzugsfähiger USt.) im Förderzeitraum in EUR</t>
  </si>
  <si>
    <t>Preis pro Liter (inkl. MöSt) im Förderungszeitraum in EUR</t>
  </si>
  <si>
    <t>Der Bruttopreis enthält die Mineralölsteuer und Umsatzsteuer und entspricht der Preisangabe an der Zapfsäule.</t>
  </si>
  <si>
    <t>Förderungsfähiger Preis/Liter (exkl. MöSt) 
im Förderungszeitraum in EUR</t>
  </si>
  <si>
    <t xml:space="preserve">Gesamt Treibstoffverbrauch in Liter </t>
  </si>
  <si>
    <t>Förderungsfähiger Durchschnittspreis für Treibstoffe wird für die Ermittlung der Zuschusshöhe herangezogen.</t>
  </si>
  <si>
    <t>%</t>
  </si>
  <si>
    <t>Schritt 3: Eintragung der Treibstoffrechnungen</t>
  </si>
  <si>
    <t>1.4.2</t>
  </si>
  <si>
    <t>JaNein</t>
  </si>
  <si>
    <t>Treibstoffart</t>
  </si>
  <si>
    <t>0000</t>
  </si>
  <si>
    <t>Jahr 1</t>
  </si>
  <si>
    <t>Jahr 2</t>
  </si>
  <si>
    <t>Förderzeitraum Start</t>
  </si>
  <si>
    <t>Förderzeitraum Ende</t>
  </si>
  <si>
    <t>Vergleichszeitraum Start</t>
  </si>
  <si>
    <t>Vergleichszeitraum Ende</t>
  </si>
  <si>
    <t>Treibstoffe Ust</t>
  </si>
  <si>
    <t>Strom max.</t>
  </si>
  <si>
    <t>Strom Zuschussquote</t>
  </si>
  <si>
    <t>Erdgas max.</t>
  </si>
  <si>
    <t>Erdgas Zuschussquote</t>
  </si>
  <si>
    <t>Wärme/Kälte max.</t>
  </si>
  <si>
    <t>Wärme/Kälte Zuschussquote</t>
  </si>
  <si>
    <t>Treibstoff Zuschussquote</t>
  </si>
  <si>
    <t xml:space="preserve">Zuschussberechnung gem. </t>
  </si>
  <si>
    <t>Monatsletzter</t>
  </si>
  <si>
    <t>nächster Erster</t>
  </si>
  <si>
    <t>nächster Letzter</t>
  </si>
  <si>
    <t>Tage</t>
  </si>
  <si>
    <t>Monate</t>
  </si>
  <si>
    <t>EZ-Stufe</t>
  </si>
  <si>
    <t>Basisstufe</t>
  </si>
  <si>
    <t>EZ-Grenze</t>
  </si>
  <si>
    <t>formatiert</t>
  </si>
  <si>
    <t>Text</t>
  </si>
  <si>
    <t>brutto</t>
  </si>
  <si>
    <t>Untergrenze</t>
  </si>
  <si>
    <t>Pauschalbetrag</t>
  </si>
  <si>
    <t>maximal</t>
  </si>
  <si>
    <t>Pauschale bis</t>
  </si>
  <si>
    <t>Holzpellets</t>
  </si>
  <si>
    <t>Hackschnitzel</t>
  </si>
  <si>
    <t>Heizöl</t>
  </si>
  <si>
    <t>Energiekostenzuschuss - Heizöl/Holzpellets/Hackschnitzel</t>
  </si>
  <si>
    <t>Auswahl - 
JA/NEIN?</t>
  </si>
  <si>
    <t>Unternehmensangaben:</t>
  </si>
  <si>
    <t>Extra Leichtes
Heizöl</t>
  </si>
  <si>
    <t>JA</t>
  </si>
  <si>
    <t>Vorsteuerabzugsberechtigtes Unternehmen - JA/NEIN?</t>
  </si>
  <si>
    <t>Energieträger</t>
  </si>
  <si>
    <t>Durchschnittspreis EUR/Einheit</t>
  </si>
  <si>
    <t>Extra leichtes Heizöl</t>
  </si>
  <si>
    <t>Rechnungszeitraum</t>
  </si>
  <si>
    <t>bezogene Menge in Liter 
(Jan.-Jun. 2023)</t>
  </si>
  <si>
    <t>Nettopreis/
Liter</t>
  </si>
  <si>
    <t>MÖSt/Liter</t>
  </si>
  <si>
    <t>Nettopreis abzgl. MÖSt</t>
  </si>
  <si>
    <t>bezogene Menge in Tonnen
(Jan.-Jun. 2023)</t>
  </si>
  <si>
    <t>Nettopreis/
Tonne</t>
  </si>
  <si>
    <t>Bitte auswählen (JA/NEIN):</t>
  </si>
  <si>
    <t>Extra Leichtes Heizöl</t>
  </si>
  <si>
    <t>bezogene Menge in Liter 
(Jan.-Dez. 2021)</t>
  </si>
  <si>
    <t>bezogene Menge in Tonnen
(Jan.-Dez. 2021)</t>
  </si>
  <si>
    <t>Summe Netto-Rechnungsbeträge 
(Jan.-Dez. 2021)</t>
  </si>
  <si>
    <t>Menge</t>
  </si>
  <si>
    <t>Ermittlungsart:</t>
  </si>
  <si>
    <t>Bitte auswählen:</t>
  </si>
  <si>
    <t>Ø aus Inventurmethode</t>
  </si>
  <si>
    <t>Ø aus Einkäufen der letzten 3 Jahre</t>
  </si>
  <si>
    <t>vorletzte Inventur 
am: (Datum)</t>
  </si>
  <si>
    <t>letzte Inventur 
am: (Datum)</t>
  </si>
  <si>
    <t>Menge der Einkäufe im Zeitraum zwischen letzten beiden Inventuren:</t>
  </si>
  <si>
    <t>Jahres-Einkaufsmenge der letzten 3 Jahre in Liter bzw. Tonnen:</t>
  </si>
  <si>
    <t>Betrachtungszeitraum 
in Monaten:</t>
  </si>
  <si>
    <t>Ø-Monatsverbrauch
 in Lit. bzw. Tonnen</t>
  </si>
  <si>
    <t>Summe</t>
  </si>
  <si>
    <t>Heizölart</t>
  </si>
  <si>
    <t>MÖSt je l</t>
  </si>
  <si>
    <t>Details</t>
  </si>
  <si>
    <t>Methoden</t>
  </si>
  <si>
    <t>EL Heizöl (extra leicht)</t>
  </si>
  <si>
    <t>Schwefelgehalt &gt;10mg/kg</t>
  </si>
  <si>
    <t>anderes Heizöl</t>
  </si>
  <si>
    <t>Ø-Monatsverbrauch 
in l bzw. Tonnen</t>
  </si>
  <si>
    <t>Faktor VZ Hackschnitzel</t>
  </si>
  <si>
    <t>Pellets Ust</t>
  </si>
  <si>
    <t>Hackschnitzel Ust</t>
  </si>
  <si>
    <t>Faktor VZ Pellets</t>
  </si>
  <si>
    <t>P (VZ) 
Ø-Preis
Vergleichs-
zeitraum 
Jan.-Dez. 2021</t>
  </si>
  <si>
    <t>P (FZ) 
Ø-Preis
Förder-
zeitraum
Jan.-Jun. 2023</t>
  </si>
  <si>
    <t>Einheit</t>
  </si>
  <si>
    <t>AceHeizoelverbrauchzeitraum</t>
  </si>
  <si>
    <t>AceDurchschnittspreisheizoelzeitraum</t>
  </si>
  <si>
    <t>AceDurchschnittspreisheizoelvergleich</t>
  </si>
  <si>
    <t>AceHolzpelletsverbrauchzeitraum</t>
  </si>
  <si>
    <t>AceDurchschnittspreisholzpelletszeitraum</t>
  </si>
  <si>
    <t>AceDurchschnittspreisholzpelletsvergleich</t>
  </si>
  <si>
    <t>AceHackschnitzelverbrauchzeitraum</t>
  </si>
  <si>
    <t>AceDurchschnittspreishackschnitzelzeitraum</t>
  </si>
  <si>
    <t>AceDurchschnittspreishackschnitzelvergleich</t>
  </si>
  <si>
    <t>l</t>
  </si>
  <si>
    <t>t</t>
  </si>
  <si>
    <t>EBITDA Grenze Zuschuss</t>
  </si>
  <si>
    <t>M
Verbrauchs-
menge
Förder-
zeitraum
Jan.-Jun. 2023</t>
  </si>
  <si>
    <t>Vorsteuer</t>
  </si>
  <si>
    <t>EBITDA</t>
  </si>
  <si>
    <t>Betriebsverlustmethode</t>
  </si>
  <si>
    <t>EBITDA-Absenkungsmethode</t>
  </si>
  <si>
    <t>Korrektur</t>
  </si>
  <si>
    <t>EBITDA Absenkung</t>
  </si>
  <si>
    <t>EBITDA Grenzsatz</t>
  </si>
  <si>
    <t>EBITDA Zuschussdeckel Basis</t>
  </si>
  <si>
    <t>Ihr korrigierter Gesamtzuschuss</t>
  </si>
  <si>
    <t>Faktor VZ Heizöl</t>
  </si>
  <si>
    <t>Treibstoff Basis Preisanstieg</t>
  </si>
  <si>
    <t>Heizöl Ust</t>
  </si>
  <si>
    <t>Standard</t>
  </si>
  <si>
    <t>B0 Diesel</t>
  </si>
  <si>
    <t>E0 Benzin</t>
  </si>
  <si>
    <t>Diesel Standard</t>
  </si>
  <si>
    <t>Benzin Standard</t>
  </si>
  <si>
    <r>
      <rPr>
        <b/>
        <sz val="11"/>
        <color rgb="FF000066"/>
        <rFont val="Calibri"/>
        <family val="2"/>
      </rPr>
      <t>Mehrere Zählpunkte mit identem Tarif</t>
    </r>
    <r>
      <rPr>
        <sz val="11"/>
        <color rgb="FF000066"/>
        <rFont val="Calibri"/>
        <family val="2"/>
      </rPr>
      <t xml:space="preserve"> können mit einer fiktiven Zählpunktnummer zusammengefasst werden (beispielsweise 1111 für Strom und 2222 für Erdgas).</t>
    </r>
  </si>
  <si>
    <r>
      <t xml:space="preserve">Zählpunktnummer (nur die </t>
    </r>
    <r>
      <rPr>
        <b/>
        <sz val="11"/>
        <color rgb="FF000066"/>
        <rFont val="Calibri"/>
        <family val="2"/>
      </rPr>
      <t>letzten vier Stellen</t>
    </r>
    <r>
      <rPr>
        <sz val="11"/>
        <color rgb="FF000066"/>
        <rFont val="Calibri"/>
        <family val="2"/>
      </rPr>
      <t>)</t>
    </r>
  </si>
  <si>
    <t>Ü</t>
  </si>
  <si>
    <t>Der Arbeitspreis bezeichnet die Kosten für die verbrauchten Kilowattstunden (kWh) Wärme/Kälte (exkl. Gebühren, Steuern, Abgaben, Netzentgelte).</t>
  </si>
  <si>
    <r>
      <t xml:space="preserve">Zählpunktnummer (die </t>
    </r>
    <r>
      <rPr>
        <b/>
        <sz val="11"/>
        <color rgb="FF000066"/>
        <rFont val="Calibri"/>
        <family val="2"/>
      </rPr>
      <t>letzten</t>
    </r>
    <r>
      <rPr>
        <sz val="11"/>
        <color rgb="FF000066"/>
        <rFont val="Calibri"/>
        <family val="2"/>
      </rPr>
      <t xml:space="preserve"> vier Stellen)</t>
    </r>
  </si>
  <si>
    <t>Der errechnete Durchschnittspreis EUR/kWh im Vergleichszeitraum erscheint unplausibel hoch!</t>
  </si>
  <si>
    <t>Pkt. 9.1 bzw. Pkt. 9.4 der Richtlinie</t>
  </si>
  <si>
    <t xml:space="preserve"> Rechnungsaufstellung Treibstoffe</t>
  </si>
  <si>
    <t>Vorsteuerabzugsberechtigt 
(JA/NEIN)</t>
  </si>
  <si>
    <t>Treibstoffspezifikation
(Auswahl: Standard, 
B0 Diesel, E0 Benzin)</t>
  </si>
  <si>
    <t>Übersicht - Summe Treibstoffe</t>
  </si>
  <si>
    <t>Vorsteuer-Abzug</t>
  </si>
  <si>
    <t>Treibstoff-spezifikation</t>
  </si>
  <si>
    <t>Nettobetrag 
in EUR</t>
  </si>
  <si>
    <t>Der Preis wurde anhand des eingegebenen Bruttopreises, Umsatzsteuer (20%) und Möst (39,7ct für Diesel - 48,2ct für Benzin - 42,5ct für Diesel B0 - 51,5ct für Benzin E0) errechnet und ist der für die Förderung relevante Preis.</t>
  </si>
  <si>
    <t>Möst Diesel Standard</t>
  </si>
  <si>
    <t>Möst Benzin Standard</t>
  </si>
  <si>
    <t>Möst Diesel B0</t>
  </si>
  <si>
    <t>Möst Benzin E0</t>
  </si>
  <si>
    <t>Die Umsatzsteuer beträgt 20 Prozent vom Bruttopreis.</t>
  </si>
  <si>
    <t xml:space="preserve">Die Mineralölsteuer ist ein fix vorgegebener Wert und ist nicht veränderbar.  Bei nicht vorsteuerabzugsberechtigten Kosten kann die auf die MöSt entfallende USt. nicht gefördert werden. </t>
  </si>
  <si>
    <t>Benzin Standard /Diesel Standard - Nicht VSt-abzugsberechtigt</t>
  </si>
  <si>
    <t>Benzin Standard /Diesel Standard  - VSt-abzugsberechtigt</t>
  </si>
  <si>
    <t>E0 Benzin/B0 Diesel - Nicht VSt-abzugsberechtigt</t>
  </si>
  <si>
    <t>E0 Benzin/B0 Diesel - VSt-abzugsberechtigt</t>
  </si>
  <si>
    <r>
      <t xml:space="preserve">Summe </t>
    </r>
    <r>
      <rPr>
        <b/>
        <u/>
        <sz val="10.5"/>
        <color rgb="FF000066"/>
        <rFont val="Calibri"/>
        <family val="2"/>
      </rPr>
      <t>Netto</t>
    </r>
    <r>
      <rPr>
        <b/>
        <sz val="10.5"/>
        <color rgb="FF000066"/>
        <rFont val="Calibri"/>
        <family val="2"/>
      </rPr>
      <t>-Rechnungsbeträge 
(Jan.-Jun. 2023)</t>
    </r>
  </si>
  <si>
    <r>
      <t xml:space="preserve">Summe </t>
    </r>
    <r>
      <rPr>
        <b/>
        <u/>
        <sz val="10.5"/>
        <color rgb="FF000066"/>
        <rFont val="Calibri"/>
        <family val="2"/>
      </rPr>
      <t>Netto</t>
    </r>
    <r>
      <rPr>
        <b/>
        <sz val="10.5"/>
        <color rgb="FF000066"/>
        <rFont val="Calibri"/>
        <family val="2"/>
      </rPr>
      <t>-Rechnungsbeträge 
(Jan.-Dez. 2021)</t>
    </r>
  </si>
  <si>
    <r>
      <rPr>
        <b/>
        <sz val="11"/>
        <color rgb="FF000066"/>
        <rFont val="Calibri"/>
        <family val="2"/>
      </rPr>
      <t>Lagerstand</t>
    </r>
    <r>
      <rPr>
        <sz val="11"/>
        <color rgb="FF000066"/>
        <rFont val="Calibri"/>
        <family val="2"/>
      </rPr>
      <t xml:space="preserve"> in l bzw t 
bei </t>
    </r>
    <r>
      <rPr>
        <b/>
        <sz val="11"/>
        <color rgb="FF000066"/>
        <rFont val="Calibri"/>
        <family val="2"/>
      </rPr>
      <t>vorletzter Inventur:</t>
    </r>
  </si>
  <si>
    <r>
      <rPr>
        <b/>
        <sz val="11"/>
        <color rgb="FF000066"/>
        <rFont val="Calibri"/>
        <family val="2"/>
      </rPr>
      <t>Lagerstand</t>
    </r>
    <r>
      <rPr>
        <sz val="11"/>
        <color rgb="FF000066"/>
        <rFont val="Calibri"/>
        <family val="2"/>
      </rPr>
      <t xml:space="preserve"> in l bzw. t bei </t>
    </r>
    <r>
      <rPr>
        <b/>
        <sz val="11"/>
        <color rgb="FF000066"/>
        <rFont val="Calibri"/>
        <family val="2"/>
      </rPr>
      <t>letzter Inventur:</t>
    </r>
  </si>
  <si>
    <r>
      <rPr>
        <b/>
        <sz val="11"/>
        <color rgb="FF000066"/>
        <rFont val="Calibri"/>
        <family val="2"/>
      </rPr>
      <t>Zeitraum in Monaten</t>
    </r>
    <r>
      <rPr>
        <sz val="11"/>
        <color rgb="FF000066"/>
        <rFont val="Calibri"/>
        <family val="2"/>
      </rPr>
      <t xml:space="preserve"> zwischen Inventuren:</t>
    </r>
  </si>
  <si>
    <t>Schritt 4: Heizöl/Holzpellets/Hackschnitzel - Berechnung der Durchschnittsarbeitspreise für Förderungszeitraum bzw. Vergleichszeitraum sowie der förderfähigen Menge</t>
  </si>
  <si>
    <t>Welche 
Energiearten 
werden beantragt:</t>
  </si>
  <si>
    <t>Es darf nur "NEIN" angegeben werden, sofern tatsächlich keine Rechnungen für den Vergleichszeitraum 2021 vorliegen!</t>
  </si>
  <si>
    <t>Durchschnittspreis Vergleichszeitraum P(VZ) ist auf Basis 
von Rechnungen für Jahr 2021 vorhanden?</t>
  </si>
  <si>
    <t>Förderzeitraum - P (FZ) :</t>
  </si>
  <si>
    <t>Vergleichszeitraum - P (VZ) :</t>
  </si>
  <si>
    <t xml:space="preserve"> a) Durchschnitt Ø aus Inventurmethode:</t>
  </si>
  <si>
    <t xml:space="preserve"> b) Durchschnitt Ø aus Einkäufen der letzten 3 Jahre:</t>
  </si>
  <si>
    <t>Schwefelgehalt ≤10mg/kg</t>
  </si>
  <si>
    <t>Heizöl/Hackschnitzel/Pellets Zuschussquote</t>
  </si>
  <si>
    <r>
      <rPr>
        <b/>
        <sz val="11"/>
        <color rgb="FF000066"/>
        <rFont val="Calibri"/>
        <family val="2"/>
      </rPr>
      <t>Anmerkung zu Betriebsverlustmethode:</t>
    </r>
    <r>
      <rPr>
        <sz val="11"/>
        <color rgb="FF000066"/>
        <rFont val="Calibri"/>
        <family val="2"/>
      </rPr>
      <t xml:space="preserve"> Bitte erfassen Sie das Ergebnis vor Zinsen, Steuern und Abschreibungen ohne einmalige Wertminderungen (EBITDA) der Periode. 
Der Betriebsverlust ist als negativer Betrag einzugeben (- Minusvorzeichen).</t>
    </r>
  </si>
  <si>
    <t>Bitte geben Sie den Betriebsverlust als negativen Betrag ein.</t>
  </si>
  <si>
    <r>
      <rPr>
        <b/>
        <sz val="12"/>
        <color rgb="FF000066"/>
        <rFont val="Arial Black"/>
        <family val="2"/>
        <scheme val="major"/>
      </rPr>
      <t>①</t>
    </r>
    <r>
      <rPr>
        <b/>
        <sz val="11.5"/>
        <color rgb="FF000066"/>
        <rFont val="Arial Black"/>
        <family val="2"/>
        <scheme val="major"/>
      </rPr>
      <t xml:space="preserve"> Angaben zu Antragstellung / Unternehmen:</t>
    </r>
  </si>
  <si>
    <r>
      <rPr>
        <b/>
        <sz val="12"/>
        <color rgb="FF000066"/>
        <rFont val="Arial Black"/>
        <family val="2"/>
        <scheme val="major"/>
      </rPr>
      <t>②</t>
    </r>
    <r>
      <rPr>
        <b/>
        <sz val="11.5"/>
        <color rgb="FF000066"/>
        <rFont val="Arial Black"/>
        <family val="2"/>
        <scheme val="major"/>
      </rPr>
      <t xml:space="preserve"> Durchschnittspreisermittlung</t>
    </r>
  </si>
  <si>
    <r>
      <rPr>
        <b/>
        <sz val="12"/>
        <color rgb="FF000066"/>
        <rFont val="Arial Black"/>
        <family val="2"/>
        <scheme val="major"/>
      </rPr>
      <t>③</t>
    </r>
    <r>
      <rPr>
        <b/>
        <sz val="11.5"/>
        <color rgb="FF000066"/>
        <rFont val="Arial Black"/>
        <family val="2"/>
        <scheme val="major"/>
      </rPr>
      <t xml:space="preserve"> förderfähige Menge (M)</t>
    </r>
  </si>
  <si>
    <t>Auswahl Berechnungsart:</t>
  </si>
  <si>
    <t>Im Zuge der Zuschussberechnung wird der Treibstoffverbrauch auf ganze Liter gerundet.</t>
  </si>
  <si>
    <t>NEIN</t>
  </si>
  <si>
    <t>förderfähiger Energiemixanteil in % (nur die direkt aus Strom, Erdgas, Heizöl, Holzpellets und Hackschnitzel erzeugte Wärme/Kälte ist förderungsfähig)</t>
  </si>
  <si>
    <r>
      <t>Treibstoffkosten (</t>
    </r>
    <r>
      <rPr>
        <b/>
        <sz val="11"/>
        <color rgb="FF000066"/>
        <rFont val="Calibri"/>
        <family val="2"/>
      </rPr>
      <t>brutto</t>
    </r>
    <r>
      <rPr>
        <sz val="11"/>
        <color rgb="FF000066"/>
        <rFont val="Calibri"/>
        <family val="2"/>
      </rPr>
      <t xml:space="preserve">) im Förderzeitraum in EUR </t>
    </r>
  </si>
  <si>
    <r>
      <t>Treibstoffkosten (</t>
    </r>
    <r>
      <rPr>
        <b/>
        <sz val="11"/>
        <color rgb="FF000066"/>
        <rFont val="Calibri"/>
        <family val="2"/>
      </rPr>
      <t>netto</t>
    </r>
    <r>
      <rPr>
        <sz val="11"/>
        <color rgb="FF000066"/>
        <rFont val="Calibri"/>
        <family val="2"/>
      </rPr>
      <t xml:space="preserve">) im Förderzeitraum in EUR </t>
    </r>
  </si>
  <si>
    <t>Um die Preissteigerungen berechnen zu können, benötigen wir im ersten Schritt Angaben aus der Jahresabrechnung 2021 Ihres Lieferanten bzw. der Monatsabrechnungen für Jahr 2021  (sofern bei Ihnen ein Lastprofilzähler installiert wurde).</t>
  </si>
  <si>
    <t>Der errechnete Durchschnittspreis EUR/kWh im Förderzeitraum erscheint unplausibel hoch! Bitte in Zeile 46, 54 usw. den Arbeitspreis EUR pro kWh angeben (nicht Netto-Rechnungsbetrag).</t>
  </si>
  <si>
    <t>OK</t>
  </si>
  <si>
    <r>
      <rPr>
        <b/>
        <sz val="11"/>
        <color rgb="FF000066"/>
        <rFont val="Calibri"/>
        <family val="2"/>
      </rPr>
      <t>Anmerkung zu EBITDA-Absenkungsmethode:</t>
    </r>
    <r>
      <rPr>
        <sz val="11"/>
        <color rgb="FF000066"/>
        <rFont val="Calibri"/>
        <family val="2"/>
      </rPr>
      <t xml:space="preserve"> Bitte erfassen Sie das Ergebnis vor Zinsen, Steuern und Abschreibungen ohne einmalige Wertminderungen (EBITDA) der jeweiligen Periode. </t>
    </r>
    <r>
      <rPr>
        <b/>
        <sz val="11"/>
        <color rgb="FF000066"/>
        <rFont val="Calibri"/>
        <family val="2"/>
      </rPr>
      <t>Das angegebene EBITDA für 2021 muss positiv sein</t>
    </r>
    <r>
      <rPr>
        <sz val="11"/>
        <color rgb="FF000066"/>
        <rFont val="Calibri"/>
        <family val="2"/>
      </rPr>
      <t xml:space="preserve">. Bei der EBITDA-Absenkungsmethode ist der Gesamtzuschuss mit jener Höhe begrenzt, die dazu führen würde, dass das EBITDA der beantragten Förderungsperiode mehr als 70 % des EBITDAS derselben Periode des Jahres 2021 übersteigen würde. </t>
    </r>
  </si>
  <si>
    <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</si>
</sst>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00_-;\-* #,##0.0000_-;_-* &quot;-&quot;??_-;_-@_-"/>
    <numFmt numFmtId="166" formatCode="#,##0.000"/>
    <numFmt numFmtId="167" formatCode="#,##0.0000"/>
    <numFmt numFmtId="168" formatCode="0000"/>
    <numFmt numFmtId="169" formatCode="0.000"/>
    <numFmt numFmtId="170" formatCode="######"/>
    <numFmt numFmtId="171" formatCode="_-* #,##0.000_-;\-* #,##0.000_-;_-* &quot;-&quot;??_-;_-@_-"/>
    <numFmt numFmtId="172" formatCode="#"/>
    <numFmt numFmtId="173" formatCode="0.0000"/>
    <numFmt numFmtId="174" formatCode=";;;"/>
    <numFmt numFmtId="175" formatCode="#,##0\ &quot;kWh&quot;"/>
    <numFmt numFmtId="176" formatCode="0,,&quot; Mio&quot;"/>
    <numFmt numFmtId="177" formatCode="&quot;€&quot;\ #,##0.0000"/>
    <numFmt numFmtId="178" formatCode="#,##0.00\ &quot;L&quot;"/>
    <numFmt numFmtId="179" formatCode="_-&quot;€&quot;\ * #,##0.0000_-;\-&quot;€&quot;\ * #,##0.0000_-;_-&quot;€&quot;\ * &quot;-&quot;??_-;_-@_-"/>
    <numFmt numFmtId="180" formatCode="_-&quot;€&quot;\ * #,##0.0000_-;\-&quot;€&quot;\ * #,##0.0000_-;_-&quot;€&quot;\ * &quot;-&quot;????_-;_-@_-"/>
    <numFmt numFmtId="181" formatCode="#,##0.0000\ &quot;t&quot;"/>
    <numFmt numFmtId="182" formatCode="0.0"/>
    <numFmt numFmtId="183" formatCode="#,##0.00\ &quot;t&quot;"/>
    <numFmt numFmtId="184" formatCode="#,##0.00\ &quot;l&quot;"/>
    <numFmt numFmtId="185" formatCode="_-&quot;€&quot;\ * #,##0_-;\-&quot;€&quot;\ * #,##0_-;_-&quot;€&quot;\ * &quot;-&quot;??_-;_-@_-"/>
    <numFmt numFmtId="186" formatCode="#,##0.000\ &quot;€&quot;;\-#,##0.000\ &quot;€&quot;"/>
  </numFmts>
  <fonts count="69" x14ac:knownFonts="1">
    <font>
      <sz val="11"/>
      <color theme="1"/>
      <name val="Calibri"/>
      <family val="2"/>
    </font>
    <font>
      <sz val="11"/>
      <color theme="1"/>
      <name val="Calibri"/>
      <family val="2"/>
    </font>
    <font>
      <sz val="11"/>
      <color rgb="FF000066"/>
      <name val="Arial Black"/>
      <family val="2"/>
    </font>
    <font>
      <sz val="11"/>
      <color rgb="FF000066"/>
      <name val="Trebuchet MS"/>
      <family val="2"/>
      <scheme val="minor"/>
    </font>
    <font>
      <b/>
      <sz val="11"/>
      <color rgb="FF000066"/>
      <name val="Arial Black"/>
      <family val="2"/>
    </font>
    <font>
      <sz val="11"/>
      <color rgb="FF000066"/>
      <name val="Webdings"/>
      <family val="1"/>
      <charset val="2"/>
    </font>
    <font>
      <b/>
      <sz val="10"/>
      <color rgb="FF000066"/>
      <name val="Arial Black"/>
      <family val="2"/>
    </font>
    <font>
      <sz val="14"/>
      <color rgb="FF00B0F0"/>
      <name val="Trebuchet MS"/>
      <family val="2"/>
      <scheme val="minor"/>
    </font>
    <font>
      <sz val="18"/>
      <color rgb="FF000066"/>
      <name val="Arial Black"/>
      <family val="2"/>
    </font>
    <font>
      <sz val="11"/>
      <color theme="3" tint="0.79998168889431442"/>
      <name val="Trebuchet MS"/>
      <family val="2"/>
      <scheme val="minor"/>
    </font>
    <font>
      <sz val="11"/>
      <color theme="4" tint="0.79998168889431442"/>
      <name val="Trebuchet MS"/>
      <family val="2"/>
      <scheme val="minor"/>
    </font>
    <font>
      <b/>
      <sz val="11"/>
      <color rgb="FF000066"/>
      <name val="Trebuchet MS"/>
      <family val="2"/>
      <scheme val="minor"/>
    </font>
    <font>
      <sz val="11"/>
      <color rgb="FF002060"/>
      <name val="Trebuchet MS"/>
      <family val="2"/>
      <scheme val="minor"/>
    </font>
    <font>
      <b/>
      <sz val="10"/>
      <color rgb="FF002060"/>
      <name val="Arial Black"/>
      <family val="2"/>
    </font>
    <font>
      <sz val="11"/>
      <color rgb="FFFF0000"/>
      <name val="Trebuchet MS"/>
      <family val="2"/>
      <scheme val="minor"/>
    </font>
    <font>
      <sz val="11"/>
      <color theme="0" tint="-0.249977111117893"/>
      <name val="Trebuchet MS"/>
      <family val="2"/>
      <scheme val="minor"/>
    </font>
    <font>
      <sz val="11"/>
      <color rgb="FFD9E1F2"/>
      <name val="Trebuchet MS"/>
      <family val="2"/>
      <scheme val="minor"/>
    </font>
    <font>
      <sz val="11"/>
      <color theme="1"/>
      <name val="Calibri"/>
      <family val="2"/>
    </font>
    <font>
      <sz val="11"/>
      <color theme="1"/>
      <name val="Calibri"/>
      <family val="2"/>
    </font>
    <font>
      <sz val="11"/>
      <color theme="2"/>
      <name val="Trebuchet MS"/>
      <family val="2"/>
      <scheme val="minor"/>
    </font>
    <font>
      <b/>
      <sz val="11"/>
      <color rgb="FF000066"/>
      <name val="Arial Black"/>
      <family val="2"/>
      <scheme val="major"/>
    </font>
    <font>
      <sz val="18"/>
      <color rgb="FF000066"/>
      <name val="Arial Black"/>
      <family val="2"/>
      <scheme val="major"/>
    </font>
    <font>
      <sz val="10.5"/>
      <color rgb="FF000066"/>
      <name val="Trebuchet MS"/>
      <family val="2"/>
      <scheme val="minor"/>
    </font>
    <font>
      <b/>
      <sz val="11"/>
      <color rgb="FF000066"/>
      <name val="Calibri"/>
      <family val="2"/>
    </font>
    <font>
      <sz val="9"/>
      <color theme="1"/>
      <name val="Trebuchet MS"/>
      <family val="2"/>
      <scheme val="minor"/>
    </font>
    <font>
      <u/>
      <sz val="11"/>
      <color rgb="FF000066"/>
      <name val="Calibri"/>
      <family val="2"/>
    </font>
    <font>
      <sz val="11"/>
      <color rgb="FF000066"/>
      <name val="Calibri"/>
      <family val="2"/>
    </font>
    <font>
      <sz val="11"/>
      <color rgb="FFFF0000"/>
      <name val="Calibri"/>
      <family val="2"/>
    </font>
    <font>
      <sz val="11"/>
      <color theme="0" tint="-0.249977111117893"/>
      <name val="Calibri"/>
      <family val="2"/>
    </font>
    <font>
      <sz val="11"/>
      <color rgb="FFD9E1F2"/>
      <name val="Calibri"/>
      <family val="2"/>
    </font>
    <font>
      <b/>
      <sz val="10"/>
      <color rgb="FF000066"/>
      <name val="Calibri"/>
      <family val="2"/>
    </font>
    <font>
      <sz val="11"/>
      <color rgb="FF002060"/>
      <name val="Calibri"/>
      <family val="2"/>
    </font>
    <font>
      <sz val="11"/>
      <color theme="0"/>
      <name val="Calibri"/>
      <family val="2"/>
    </font>
    <font>
      <sz val="11"/>
      <color theme="4" tint="0.79998168889431442"/>
      <name val="Calibri"/>
      <family val="2"/>
    </font>
    <font>
      <b/>
      <sz val="10"/>
      <color rgb="FF000066"/>
      <name val="Arial Black"/>
      <family val="2"/>
      <scheme val="major"/>
    </font>
    <font>
      <sz val="11"/>
      <color rgb="FF7692D0"/>
      <name val="Calibri"/>
      <family val="2"/>
    </font>
    <font>
      <sz val="11"/>
      <color rgb="FFD9E1F2"/>
      <name val="Wingdings"/>
      <charset val="2"/>
    </font>
    <font>
      <b/>
      <sz val="11"/>
      <color rgb="FFD9E1F2"/>
      <name val="Calibri"/>
      <family val="2"/>
    </font>
    <font>
      <i/>
      <sz val="11"/>
      <color rgb="FF7F7F7F"/>
      <name val="Calibri"/>
      <family val="2"/>
    </font>
    <font>
      <i/>
      <sz val="11"/>
      <color rgb="FF7692D0"/>
      <name val="Calibri"/>
      <family val="2"/>
    </font>
    <font>
      <b/>
      <sz val="11"/>
      <color theme="1"/>
      <name val="Calibri"/>
      <family val="2"/>
    </font>
    <font>
      <i/>
      <sz val="11"/>
      <color rgb="FF000066"/>
      <name val="Calibri"/>
      <family val="2"/>
    </font>
    <font>
      <sz val="11"/>
      <color theme="1"/>
      <name val="Webdings"/>
      <family val="1"/>
      <charset val="2"/>
    </font>
    <font>
      <sz val="11"/>
      <color theme="0" tint="-0.14999847407452621"/>
      <name val="Calibri"/>
      <family val="2"/>
    </font>
    <font>
      <sz val="18"/>
      <color rgb="FF000066"/>
      <name val="Calibri"/>
      <family val="2"/>
    </font>
    <font>
      <b/>
      <sz val="14"/>
      <color rgb="FF000066"/>
      <name val="Calibri"/>
      <family val="2"/>
    </font>
    <font>
      <b/>
      <sz val="12"/>
      <color rgb="FF000066"/>
      <name val="Calibri"/>
      <family val="2"/>
    </font>
    <font>
      <b/>
      <sz val="10.5"/>
      <color rgb="FF000066"/>
      <name val="Calibri"/>
      <family val="2"/>
    </font>
    <font>
      <b/>
      <u/>
      <sz val="10.5"/>
      <color rgb="FF000066"/>
      <name val="Calibri"/>
      <family val="2"/>
    </font>
    <font>
      <sz val="10.5"/>
      <color rgb="FF000066"/>
      <name val="Calibri"/>
      <family val="2"/>
    </font>
    <font>
      <sz val="10.5"/>
      <color theme="1"/>
      <name val="Calibri"/>
      <family val="2"/>
    </font>
    <font>
      <sz val="10"/>
      <color rgb="FF000066"/>
      <name val="Calibri"/>
      <family val="2"/>
    </font>
    <font>
      <b/>
      <u/>
      <sz val="12"/>
      <color rgb="FF000066"/>
      <name val="Calibri"/>
      <family val="2"/>
    </font>
    <font>
      <b/>
      <u/>
      <sz val="12"/>
      <color theme="1"/>
      <name val="Calibri"/>
      <family val="2"/>
    </font>
    <font>
      <u/>
      <sz val="11"/>
      <color theme="1"/>
      <name val="Calibri"/>
      <family val="2"/>
    </font>
    <font>
      <sz val="12"/>
      <color rgb="FF00B0F0"/>
      <name val="Trebuchet MS"/>
      <family val="2"/>
      <scheme val="minor"/>
    </font>
    <font>
      <b/>
      <sz val="11.5"/>
      <color rgb="FF000066"/>
      <name val="Calibri"/>
      <family val="2"/>
    </font>
    <font>
      <b/>
      <sz val="10.5"/>
      <color rgb="FF000066"/>
      <name val="Arial Black"/>
      <family val="2"/>
      <scheme val="major"/>
    </font>
    <font>
      <b/>
      <sz val="10.55"/>
      <color rgb="FF000066"/>
      <name val="Arial Black"/>
      <family val="2"/>
      <scheme val="major"/>
    </font>
    <font>
      <b/>
      <sz val="11.5"/>
      <color rgb="FF000066"/>
      <name val="Arial Black"/>
      <family val="2"/>
      <scheme val="major"/>
    </font>
    <font>
      <b/>
      <u/>
      <sz val="10.5"/>
      <color rgb="FF000066"/>
      <name val="Arial Black"/>
      <family val="2"/>
      <scheme val="major"/>
    </font>
    <font>
      <b/>
      <sz val="11"/>
      <color rgb="FFC00000"/>
      <name val="Calibri"/>
      <family val="2"/>
    </font>
    <font>
      <b/>
      <sz val="11"/>
      <color rgb="FFD9E1F2"/>
      <name val="Arial Black"/>
      <family val="2"/>
    </font>
    <font>
      <b/>
      <sz val="12"/>
      <color rgb="FF000066"/>
      <name val="Arial Black"/>
      <family val="2"/>
      <scheme val="major"/>
    </font>
    <font>
      <b/>
      <sz val="11"/>
      <color rgb="FFFA7D00"/>
      <name val="Calibri"/>
      <family val="2"/>
    </font>
    <font>
      <sz val="11"/>
      <color theme="4"/>
      <name val="Calibri"/>
      <family val="2"/>
    </font>
    <font>
      <sz val="11"/>
      <name val="Calibri"/>
      <family val="2"/>
    </font>
    <font>
      <sz val="11"/>
      <color rgb="FFC00000"/>
      <name val="Calibri"/>
      <family val="2"/>
    </font>
    <font>
      <sz val="11"/>
      <color rgb="FFC00000"/>
      <name val="Webdings"/>
      <family val="1"/>
      <charset val="2"/>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D9E1F2"/>
        <bgColor indexed="64"/>
      </patternFill>
    </fill>
    <fill>
      <patternFill patternType="solid">
        <fgColor rgb="FFFFCC99"/>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E1F4FF"/>
        <bgColor indexed="64"/>
      </patternFill>
    </fill>
    <fill>
      <patternFill patternType="solid">
        <fgColor rgb="FFF2F2F2"/>
      </patternFill>
    </fill>
  </fills>
  <borders count="50">
    <border>
      <left/>
      <right/>
      <top/>
      <bottom/>
      <diagonal/>
    </border>
    <border>
      <left style="medium">
        <color rgb="FF00B0F0"/>
      </left>
      <right style="medium">
        <color rgb="FF00B0F0"/>
      </right>
      <top style="medium">
        <color rgb="FF00B0F0"/>
      </top>
      <bottom style="medium">
        <color rgb="FF00B0F0"/>
      </bottom>
      <diagonal/>
    </border>
    <border>
      <left/>
      <right/>
      <top/>
      <bottom style="medium">
        <color rgb="FF002060"/>
      </bottom>
      <diagonal/>
    </border>
    <border>
      <left style="medium">
        <color rgb="FF00B0F0"/>
      </left>
      <right style="dotted">
        <color rgb="FF00B0F0"/>
      </right>
      <top/>
      <bottom/>
      <diagonal/>
    </border>
    <border>
      <left style="dotted">
        <color rgb="FF00B0F0"/>
      </left>
      <right style="dotted">
        <color rgb="FF00B0F0"/>
      </right>
      <top/>
      <bottom/>
      <diagonal/>
    </border>
    <border>
      <left style="medium">
        <color rgb="FF00B0F0"/>
      </left>
      <right style="dotted">
        <color rgb="FF00B0F0"/>
      </right>
      <top/>
      <bottom style="medium">
        <color rgb="FF00B0F0"/>
      </bottom>
      <diagonal/>
    </border>
    <border>
      <left style="dotted">
        <color rgb="FF00B0F0"/>
      </left>
      <right style="dotted">
        <color rgb="FF00B0F0"/>
      </right>
      <top/>
      <bottom style="medium">
        <color rgb="FF00B0F0"/>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
      <left/>
      <right/>
      <top style="medium">
        <color rgb="FF00B0F0"/>
      </top>
      <bottom/>
      <diagonal/>
    </border>
    <border>
      <left/>
      <right/>
      <top/>
      <bottom style="medium">
        <color auto="1"/>
      </bottom>
      <diagonal/>
    </border>
    <border>
      <left style="thin">
        <color rgb="FF00B0F0"/>
      </left>
      <right style="thin">
        <color rgb="FF00B0F0"/>
      </right>
      <top style="thin">
        <color rgb="FF00B0F0"/>
      </top>
      <bottom style="thin">
        <color rgb="FF00B0F0"/>
      </bottom>
      <diagonal/>
    </border>
    <border>
      <left style="thin">
        <color rgb="FF7F7F7F"/>
      </left>
      <right style="thin">
        <color rgb="FF7F7F7F"/>
      </right>
      <top style="thin">
        <color rgb="FF7F7F7F"/>
      </top>
      <bottom style="thin">
        <color rgb="FF7F7F7F"/>
      </bottom>
      <diagonal/>
    </border>
    <border>
      <left style="thick">
        <color theme="5"/>
      </left>
      <right style="thick">
        <color theme="5"/>
      </right>
      <top style="thick">
        <color theme="5"/>
      </top>
      <bottom style="thick">
        <color theme="5"/>
      </bottom>
      <diagonal/>
    </border>
    <border>
      <left style="thick">
        <color rgb="FF00B0F0"/>
      </left>
      <right style="thick">
        <color rgb="FF00B0F0"/>
      </right>
      <top style="thick">
        <color rgb="FF00B0F0"/>
      </top>
      <bottom style="thick">
        <color rgb="FF00B0F0"/>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rgb="FF00B0F0"/>
      </left>
      <right style="dotted">
        <color rgb="FF00B0F0"/>
      </right>
      <top style="dotted">
        <color rgb="FF00B0F0"/>
      </top>
      <bottom/>
      <diagonal/>
    </border>
    <border>
      <left style="thin">
        <color rgb="FF00B0F0"/>
      </left>
      <right/>
      <top style="thin">
        <color rgb="FF00B0F0"/>
      </top>
      <bottom style="thin">
        <color rgb="FF00B0F0"/>
      </bottom>
      <diagonal/>
    </border>
    <border>
      <left/>
      <right style="thin">
        <color rgb="FF00B0F0"/>
      </right>
      <top style="thin">
        <color rgb="FF00B0F0"/>
      </top>
      <bottom style="thin">
        <color rgb="FF00B0F0"/>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rgb="FF00B0F0"/>
      </right>
      <top style="thin">
        <color indexed="64"/>
      </top>
      <bottom style="thin">
        <color indexed="64"/>
      </bottom>
      <diagonal/>
    </border>
    <border>
      <left/>
      <right style="medium">
        <color rgb="FF00B0F0"/>
      </right>
      <top/>
      <bottom/>
      <diagonal/>
    </border>
  </borders>
  <cellStyleXfs count="10">
    <xf numFmtId="0" fontId="0" fillId="0" borderId="0"/>
    <xf numFmtId="43" fontId="1" fillId="0" borderId="0" applyFill="0" applyBorder="0" applyAlignment="0" applyProtection="0"/>
    <xf numFmtId="9" fontId="1" fillId="0" borderId="0" applyFill="0" applyBorder="0" applyAlignment="0" applyProtection="0"/>
    <xf numFmtId="44" fontId="1" fillId="0" borderId="0" applyFill="0" applyBorder="0" applyAlignment="0" applyProtection="0"/>
    <xf numFmtId="0" fontId="64" fillId="12" borderId="13" applyNumberFormat="0" applyAlignment="0" applyProtection="0"/>
    <xf numFmtId="0" fontId="38" fillId="0" borderId="0" applyNumberFormat="0" applyFill="0" applyBorder="0" applyAlignment="0" applyProtection="0"/>
    <xf numFmtId="0" fontId="26" fillId="5" borderId="15" applyNumberFormat="0" applyFill="0" applyAlignment="0">
      <protection locked="0"/>
    </xf>
    <xf numFmtId="0" fontId="65" fillId="5" borderId="14" applyNumberFormat="0" applyFill="0" applyAlignment="0">
      <protection locked="0"/>
    </xf>
    <xf numFmtId="41" fontId="1" fillId="0" borderId="0" applyFill="0" applyBorder="0" applyAlignment="0" applyProtection="0"/>
    <xf numFmtId="42" fontId="1" fillId="0" borderId="0" applyFill="0" applyBorder="0" applyAlignment="0" applyProtection="0"/>
  </cellStyleXfs>
  <cellXfs count="441">
    <xf numFmtId="0" fontId="0" fillId="0" borderId="0" xfId="0"/>
    <xf numFmtId="0" fontId="3" fillId="0" borderId="0" xfId="0" applyFont="1"/>
    <xf numFmtId="0" fontId="4" fillId="2" borderId="0" xfId="0" applyFont="1" applyFill="1"/>
    <xf numFmtId="0" fontId="3" fillId="2" borderId="0" xfId="0" applyFont="1" applyFill="1"/>
    <xf numFmtId="0" fontId="5" fillId="2" borderId="0" xfId="0" applyFont="1" applyFill="1" applyAlignment="1">
      <alignment horizontal="right"/>
    </xf>
    <xf numFmtId="166" fontId="3" fillId="2" borderId="0" xfId="0" applyNumberFormat="1" applyFont="1" applyFill="1"/>
    <xf numFmtId="164" fontId="6" fillId="2" borderId="0" xfId="1" applyNumberFormat="1" applyFont="1" applyFill="1" applyBorder="1"/>
    <xf numFmtId="0" fontId="6" fillId="2" borderId="0" xfId="0" applyFont="1" applyFill="1" applyAlignment="1">
      <alignment horizontal="left"/>
    </xf>
    <xf numFmtId="0" fontId="3" fillId="2" borderId="0" xfId="0" applyFont="1" applyFill="1" applyAlignment="1">
      <alignment horizontal="right"/>
    </xf>
    <xf numFmtId="0" fontId="9" fillId="2" borderId="0" xfId="0" applyFont="1" applyFill="1"/>
    <xf numFmtId="9" fontId="10" fillId="2" borderId="0" xfId="2" applyFont="1" applyFill="1" applyBorder="1" applyAlignment="1"/>
    <xf numFmtId="0" fontId="0" fillId="2" borderId="0" xfId="0" applyFill="1"/>
    <xf numFmtId="0" fontId="10" fillId="2" borderId="0" xfId="0" applyFont="1" applyFill="1"/>
    <xf numFmtId="166" fontId="10" fillId="2" borderId="0" xfId="0" applyNumberFormat="1" applyFont="1" applyFill="1"/>
    <xf numFmtId="17" fontId="3" fillId="2" borderId="3" xfId="0" applyNumberFormat="1" applyFont="1" applyFill="1" applyBorder="1"/>
    <xf numFmtId="17" fontId="3" fillId="2" borderId="4" xfId="0" applyNumberFormat="1" applyFont="1" applyFill="1" applyBorder="1"/>
    <xf numFmtId="17" fontId="3" fillId="2" borderId="5" xfId="0" applyNumberFormat="1" applyFont="1" applyFill="1" applyBorder="1"/>
    <xf numFmtId="17" fontId="3" fillId="2" borderId="6" xfId="0" applyNumberFormat="1" applyFont="1" applyFill="1" applyBorder="1"/>
    <xf numFmtId="3" fontId="10" fillId="2" borderId="0" xfId="0" applyNumberFormat="1" applyFont="1" applyFill="1"/>
    <xf numFmtId="168" fontId="12" fillId="3" borderId="1" xfId="0" applyNumberFormat="1" applyFont="1" applyFill="1" applyBorder="1" applyAlignment="1">
      <alignment horizontal="center"/>
    </xf>
    <xf numFmtId="3" fontId="3" fillId="3" borderId="1" xfId="0" applyNumberFormat="1" applyFont="1" applyFill="1" applyBorder="1" applyAlignment="1">
      <alignment horizontal="center"/>
    </xf>
    <xf numFmtId="167" fontId="3" fillId="3" borderId="1" xfId="0" applyNumberFormat="1" applyFont="1" applyFill="1" applyBorder="1"/>
    <xf numFmtId="3" fontId="3" fillId="3" borderId="1" xfId="1" applyNumberFormat="1" applyFont="1" applyFill="1" applyBorder="1"/>
    <xf numFmtId="0" fontId="3" fillId="2" borderId="0" xfId="0" applyFont="1" applyFill="1" applyAlignment="1">
      <alignment vertical="top"/>
    </xf>
    <xf numFmtId="0" fontId="0" fillId="2" borderId="0" xfId="0" applyFill="1" applyAlignment="1">
      <alignment vertical="top"/>
    </xf>
    <xf numFmtId="0" fontId="0" fillId="0" borderId="0" xfId="0" applyProtection="1">
      <protection hidden="1"/>
    </xf>
    <xf numFmtId="0" fontId="14" fillId="0" borderId="0" xfId="0" applyFont="1" applyProtection="1">
      <protection hidden="1"/>
    </xf>
    <xf numFmtId="0" fontId="8" fillId="0" borderId="0" xfId="0" applyFont="1" applyProtection="1">
      <protection hidden="1"/>
    </xf>
    <xf numFmtId="0" fontId="7" fillId="0" borderId="0" xfId="0" applyFont="1" applyProtection="1">
      <protection hidden="1"/>
    </xf>
    <xf numFmtId="0" fontId="15" fillId="0" borderId="0" xfId="0" applyFont="1" applyProtection="1">
      <protection hidden="1"/>
    </xf>
    <xf numFmtId="0" fontId="0" fillId="3" borderId="0" xfId="0" applyFill="1" applyProtection="1">
      <protection hidden="1"/>
    </xf>
    <xf numFmtId="0" fontId="0" fillId="2" borderId="0" xfId="0" applyFill="1" applyProtection="1">
      <protection hidden="1"/>
    </xf>
    <xf numFmtId="0" fontId="3" fillId="2" borderId="0" xfId="0" applyFont="1" applyFill="1" applyProtection="1">
      <protection hidden="1"/>
    </xf>
    <xf numFmtId="0" fontId="5" fillId="2" borderId="0" xfId="0" applyFont="1" applyFill="1" applyAlignment="1" applyProtection="1">
      <alignment horizontal="right"/>
      <protection hidden="1"/>
    </xf>
    <xf numFmtId="0" fontId="3" fillId="0" borderId="0" xfId="0" applyFont="1" applyProtection="1">
      <protection hidden="1"/>
    </xf>
    <xf numFmtId="0" fontId="3" fillId="3" borderId="0" xfId="0" applyFont="1" applyFill="1" applyProtection="1">
      <protection hidden="1"/>
    </xf>
    <xf numFmtId="0" fontId="4" fillId="2" borderId="0" xfId="0" applyFont="1" applyFill="1" applyProtection="1">
      <protection hidden="1"/>
    </xf>
    <xf numFmtId="0" fontId="3" fillId="2" borderId="2" xfId="0" applyFont="1" applyFill="1" applyBorder="1" applyProtection="1">
      <protection hidden="1"/>
    </xf>
    <xf numFmtId="164" fontId="6" fillId="2" borderId="0" xfId="1" applyNumberFormat="1" applyFont="1" applyFill="1" applyBorder="1" applyProtection="1">
      <protection hidden="1"/>
    </xf>
    <xf numFmtId="0" fontId="6" fillId="2" borderId="0" xfId="0" applyFont="1" applyFill="1" applyAlignment="1" applyProtection="1">
      <alignment horizontal="left"/>
      <protection hidden="1"/>
    </xf>
    <xf numFmtId="165" fontId="6" fillId="2" borderId="0" xfId="1" applyNumberFormat="1" applyFont="1" applyFill="1" applyBorder="1" applyProtection="1">
      <protection hidden="1"/>
    </xf>
    <xf numFmtId="0" fontId="12" fillId="0" borderId="0" xfId="0" applyFont="1" applyProtection="1">
      <protection hidden="1"/>
    </xf>
    <xf numFmtId="0" fontId="12" fillId="2" borderId="0" xfId="0" applyFont="1" applyFill="1" applyProtection="1">
      <protection hidden="1"/>
    </xf>
    <xf numFmtId="168" fontId="12" fillId="2" borderId="0" xfId="0" applyNumberFormat="1" applyFont="1" applyFill="1" applyAlignment="1" applyProtection="1">
      <alignment horizontal="right"/>
      <protection hidden="1"/>
    </xf>
    <xf numFmtId="0" fontId="12" fillId="2" borderId="2" xfId="0" applyFont="1" applyFill="1" applyBorder="1" applyProtection="1">
      <protection hidden="1"/>
    </xf>
    <xf numFmtId="17" fontId="3" fillId="2" borderId="0" xfId="0" applyNumberFormat="1" applyFont="1" applyFill="1" applyProtection="1">
      <protection hidden="1"/>
    </xf>
    <xf numFmtId="0" fontId="3" fillId="2" borderId="0" xfId="0" applyFont="1" applyFill="1" applyAlignment="1" applyProtection="1">
      <alignment horizontal="right"/>
      <protection hidden="1"/>
    </xf>
    <xf numFmtId="17" fontId="3" fillId="2" borderId="3" xfId="0" applyNumberFormat="1" applyFont="1" applyFill="1" applyBorder="1" applyProtection="1">
      <protection hidden="1"/>
    </xf>
    <xf numFmtId="17" fontId="3" fillId="2" borderId="4" xfId="0" applyNumberFormat="1" applyFont="1" applyFill="1" applyBorder="1" applyProtection="1">
      <protection hidden="1"/>
    </xf>
    <xf numFmtId="17" fontId="3" fillId="2" borderId="5" xfId="0" applyNumberFormat="1" applyFont="1" applyFill="1" applyBorder="1" applyProtection="1">
      <protection hidden="1"/>
    </xf>
    <xf numFmtId="17" fontId="3" fillId="2" borderId="6" xfId="0" applyNumberFormat="1" applyFont="1" applyFill="1" applyBorder="1" applyProtection="1">
      <protection hidden="1"/>
    </xf>
    <xf numFmtId="0" fontId="9" fillId="2" borderId="0" xfId="0" applyFont="1" applyFill="1" applyProtection="1">
      <protection hidden="1"/>
    </xf>
    <xf numFmtId="0" fontId="0" fillId="2" borderId="0" xfId="0" applyFill="1" applyAlignment="1" applyProtection="1">
      <alignment vertical="top"/>
      <protection hidden="1"/>
    </xf>
    <xf numFmtId="166" fontId="3" fillId="2" borderId="0" xfId="0" applyNumberFormat="1" applyFont="1" applyFill="1" applyProtection="1">
      <protection hidden="1"/>
    </xf>
    <xf numFmtId="166" fontId="12" fillId="2" borderId="0" xfId="0" applyNumberFormat="1" applyFont="1" applyFill="1" applyProtection="1">
      <protection hidden="1"/>
    </xf>
    <xf numFmtId="0" fontId="13" fillId="2" borderId="0" xfId="0" applyFont="1" applyFill="1" applyProtection="1">
      <protection hidden="1"/>
    </xf>
    <xf numFmtId="165" fontId="13" fillId="2" borderId="0" xfId="1" applyNumberFormat="1" applyFont="1" applyFill="1" applyBorder="1" applyProtection="1">
      <protection hidden="1"/>
    </xf>
    <xf numFmtId="0" fontId="6" fillId="2" borderId="0" xfId="0" applyFont="1" applyFill="1" applyProtection="1">
      <protection hidden="1"/>
    </xf>
    <xf numFmtId="169" fontId="3" fillId="2" borderId="0" xfId="0" applyNumberFormat="1" applyFont="1" applyFill="1" applyProtection="1">
      <protection hidden="1"/>
    </xf>
    <xf numFmtId="43" fontId="4" fillId="2" borderId="0" xfId="1" applyFont="1" applyFill="1" applyBorder="1" applyProtection="1">
      <protection hidden="1"/>
    </xf>
    <xf numFmtId="0" fontId="2" fillId="2" borderId="0" xfId="0" applyFont="1" applyFill="1" applyProtection="1">
      <protection hidden="1"/>
    </xf>
    <xf numFmtId="43" fontId="6" fillId="2" borderId="0" xfId="1" applyFont="1" applyFill="1" applyBorder="1" applyAlignment="1" applyProtection="1">
      <alignment horizontal="center"/>
      <protection hidden="1"/>
    </xf>
    <xf numFmtId="165" fontId="4" fillId="2" borderId="0" xfId="1" applyNumberFormat="1" applyFont="1" applyFill="1" applyBorder="1" applyProtection="1">
      <protection hidden="1"/>
    </xf>
    <xf numFmtId="43" fontId="4" fillId="2" borderId="0" xfId="1" applyFont="1" applyFill="1" applyBorder="1" applyAlignment="1" applyProtection="1">
      <protection hidden="1"/>
    </xf>
    <xf numFmtId="49" fontId="15" fillId="0" borderId="0" xfId="0" applyNumberFormat="1" applyFont="1" applyProtection="1">
      <protection hidden="1"/>
    </xf>
    <xf numFmtId="0" fontId="16" fillId="2" borderId="0" xfId="0" applyFont="1" applyFill="1" applyProtection="1">
      <protection hidden="1"/>
    </xf>
    <xf numFmtId="0" fontId="17" fillId="0" borderId="0" xfId="0" applyFont="1" applyAlignment="1">
      <alignment vertical="center"/>
    </xf>
    <xf numFmtId="173" fontId="17" fillId="0" borderId="0" xfId="0" applyNumberFormat="1" applyFont="1" applyAlignment="1">
      <alignment vertical="center"/>
    </xf>
    <xf numFmtId="49" fontId="17" fillId="0" borderId="0" xfId="0" applyNumberFormat="1" applyFont="1" applyAlignment="1">
      <alignment horizontal="right" vertical="center"/>
    </xf>
    <xf numFmtId="0" fontId="18" fillId="0" borderId="0" xfId="0" applyFont="1" applyAlignment="1">
      <alignment vertical="center"/>
    </xf>
    <xf numFmtId="173" fontId="18" fillId="0" borderId="0" xfId="0" applyNumberFormat="1" applyFont="1" applyAlignment="1">
      <alignment vertical="center"/>
    </xf>
    <xf numFmtId="0" fontId="3" fillId="2" borderId="11" xfId="0" applyFont="1" applyFill="1" applyBorder="1" applyProtection="1">
      <protection hidden="1"/>
    </xf>
    <xf numFmtId="0" fontId="12" fillId="2" borderId="11" xfId="0" applyFont="1" applyFill="1" applyBorder="1" applyProtection="1">
      <protection hidden="1"/>
    </xf>
    <xf numFmtId="0" fontId="5" fillId="2" borderId="0" xfId="0" applyFont="1" applyFill="1" applyAlignment="1" applyProtection="1">
      <alignment horizontal="right" vertical="top"/>
      <protection hidden="1"/>
    </xf>
    <xf numFmtId="174" fontId="0" fillId="0" borderId="0" xfId="0" applyNumberFormat="1" applyProtection="1">
      <protection hidden="1"/>
    </xf>
    <xf numFmtId="43" fontId="4" fillId="2" borderId="0" xfId="1" applyFont="1" applyFill="1" applyBorder="1" applyAlignment="1" applyProtection="1">
      <alignment horizontal="left" vertical="top"/>
      <protection hidden="1"/>
    </xf>
    <xf numFmtId="167" fontId="18" fillId="0" borderId="0" xfId="0" applyNumberFormat="1" applyFont="1" applyAlignment="1">
      <alignment horizontal="right" vertical="center"/>
    </xf>
    <xf numFmtId="2" fontId="6" fillId="2" borderId="0" xfId="1" applyNumberFormat="1" applyFont="1" applyFill="1" applyBorder="1" applyAlignment="1" applyProtection="1">
      <alignment horizontal="right"/>
      <protection hidden="1"/>
    </xf>
    <xf numFmtId="0" fontId="19" fillId="3" borderId="0" xfId="0" applyFont="1" applyFill="1" applyProtection="1">
      <protection hidden="1"/>
    </xf>
    <xf numFmtId="0" fontId="0" fillId="4" borderId="0" xfId="0" applyFill="1" applyProtection="1">
      <protection hidden="1"/>
    </xf>
    <xf numFmtId="173" fontId="17" fillId="0" borderId="0" xfId="0" applyNumberFormat="1" applyFont="1" applyAlignment="1">
      <alignment horizontal="right" vertical="center"/>
    </xf>
    <xf numFmtId="173" fontId="17" fillId="0" borderId="0" xfId="0" applyNumberFormat="1" applyFont="1" applyAlignment="1">
      <alignment horizontal="right"/>
    </xf>
    <xf numFmtId="0" fontId="20" fillId="2" borderId="0" xfId="0" applyFont="1" applyFill="1" applyProtection="1">
      <protection hidden="1"/>
    </xf>
    <xf numFmtId="0" fontId="21" fillId="0" borderId="0" xfId="0" applyFont="1" applyProtection="1">
      <protection hidden="1"/>
    </xf>
    <xf numFmtId="49" fontId="12" fillId="3" borderId="1" xfId="0" applyNumberFormat="1" applyFont="1" applyFill="1" applyBorder="1" applyAlignment="1">
      <alignment horizontal="center"/>
    </xf>
    <xf numFmtId="166" fontId="16" fillId="2" borderId="0" xfId="0" applyNumberFormat="1" applyFont="1" applyFill="1" applyProtection="1">
      <protection hidden="1"/>
    </xf>
    <xf numFmtId="0" fontId="3" fillId="4" borderId="0" xfId="0" applyFont="1" applyFill="1" applyProtection="1">
      <protection hidden="1"/>
    </xf>
    <xf numFmtId="0" fontId="0" fillId="0" borderId="16" xfId="0" applyBorder="1"/>
    <xf numFmtId="0" fontId="20" fillId="4" borderId="0" xfId="0" applyFont="1" applyFill="1" applyAlignment="1" applyProtection="1">
      <alignment vertical="center"/>
      <protection hidden="1"/>
    </xf>
    <xf numFmtId="179" fontId="22" fillId="4" borderId="17" xfId="3" applyNumberFormat="1" applyFont="1" applyFill="1" applyBorder="1" applyAlignment="1"/>
    <xf numFmtId="179" fontId="22" fillId="4" borderId="24" xfId="3" applyNumberFormat="1" applyFont="1" applyFill="1" applyBorder="1" applyAlignment="1"/>
    <xf numFmtId="0" fontId="20" fillId="4" borderId="0" xfId="0" applyFont="1" applyFill="1" applyProtection="1">
      <protection hidden="1"/>
    </xf>
    <xf numFmtId="44" fontId="20" fillId="4" borderId="0" xfId="0" applyNumberFormat="1" applyFont="1" applyFill="1" applyProtection="1">
      <protection hidden="1"/>
    </xf>
    <xf numFmtId="164" fontId="24" fillId="4" borderId="0" xfId="0" applyNumberFormat="1" applyFont="1" applyFill="1" applyProtection="1">
      <protection hidden="1"/>
    </xf>
    <xf numFmtId="0" fontId="0" fillId="0" borderId="0" xfId="0" applyFont="1" applyProtection="1">
      <protection hidden="1"/>
    </xf>
    <xf numFmtId="0" fontId="0" fillId="3" borderId="0" xfId="0" applyFont="1" applyFill="1" applyProtection="1">
      <protection hidden="1"/>
    </xf>
    <xf numFmtId="0" fontId="0" fillId="4" borderId="0" xfId="0" applyFont="1" applyFill="1" applyProtection="1">
      <protection hidden="1"/>
    </xf>
    <xf numFmtId="0" fontId="0" fillId="2" borderId="0" xfId="0" applyFont="1" applyFill="1" applyAlignment="1" applyProtection="1">
      <alignment horizontal="center"/>
      <protection hidden="1"/>
    </xf>
    <xf numFmtId="0" fontId="0" fillId="2" borderId="0" xfId="0" applyFont="1" applyFill="1" applyProtection="1">
      <protection hidden="1"/>
    </xf>
    <xf numFmtId="2" fontId="0" fillId="2" borderId="0" xfId="0" applyNumberFormat="1" applyFont="1" applyFill="1" applyProtection="1">
      <protection hidden="1"/>
    </xf>
    <xf numFmtId="173" fontId="0" fillId="2" borderId="0" xfId="0" applyNumberFormat="1" applyFont="1" applyFill="1" applyProtection="1">
      <protection hidden="1"/>
    </xf>
    <xf numFmtId="0" fontId="0" fillId="0" borderId="0" xfId="0" applyFont="1"/>
    <xf numFmtId="0" fontId="0" fillId="0" borderId="0" xfId="0" applyAlignment="1" applyProtection="1">
      <alignment horizontal="center"/>
      <protection hidden="1"/>
    </xf>
    <xf numFmtId="0" fontId="17" fillId="0" borderId="0" xfId="0" applyFont="1"/>
    <xf numFmtId="0" fontId="25" fillId="3" borderId="0" xfId="0" applyFont="1" applyFill="1" applyProtection="1">
      <protection hidden="1"/>
    </xf>
    <xf numFmtId="0" fontId="27" fillId="0" borderId="0" xfId="0" applyFont="1" applyProtection="1">
      <protection hidden="1"/>
    </xf>
    <xf numFmtId="168" fontId="26" fillId="3" borderId="0" xfId="0" applyNumberFormat="1" applyFont="1" applyFill="1" applyProtection="1">
      <protection hidden="1"/>
    </xf>
    <xf numFmtId="0" fontId="28" fillId="4" borderId="0" xfId="0" applyFont="1" applyFill="1" applyProtection="1">
      <protection hidden="1"/>
    </xf>
    <xf numFmtId="0" fontId="26" fillId="2" borderId="0" xfId="0" applyFont="1" applyFill="1" applyProtection="1">
      <protection hidden="1"/>
    </xf>
    <xf numFmtId="0" fontId="26" fillId="2" borderId="0" xfId="0" applyFont="1" applyFill="1" applyAlignment="1" applyProtection="1">
      <alignment horizontal="right"/>
      <protection hidden="1"/>
    </xf>
    <xf numFmtId="168" fontId="26" fillId="2" borderId="0" xfId="0" applyNumberFormat="1" applyFont="1" applyFill="1" applyAlignment="1" applyProtection="1">
      <alignment horizontal="center"/>
      <protection hidden="1"/>
    </xf>
    <xf numFmtId="0" fontId="26" fillId="3" borderId="0" xfId="0" applyFont="1" applyFill="1" applyProtection="1">
      <protection hidden="1"/>
    </xf>
    <xf numFmtId="168" fontId="26" fillId="3" borderId="0" xfId="0" applyNumberFormat="1" applyFont="1" applyFill="1" applyAlignment="1" applyProtection="1">
      <alignment horizontal="center"/>
      <protection hidden="1"/>
    </xf>
    <xf numFmtId="0" fontId="0" fillId="3" borderId="0" xfId="0" applyFont="1" applyFill="1" applyAlignment="1" applyProtection="1">
      <alignment horizontal="center"/>
      <protection hidden="1"/>
    </xf>
    <xf numFmtId="0" fontId="26" fillId="3" borderId="0" xfId="0" applyFont="1" applyFill="1" applyAlignment="1" applyProtection="1">
      <alignment horizontal="right"/>
      <protection hidden="1"/>
    </xf>
    <xf numFmtId="0" fontId="26" fillId="2" borderId="2" xfId="0" applyFont="1" applyFill="1" applyBorder="1" applyProtection="1">
      <protection hidden="1"/>
    </xf>
    <xf numFmtId="3" fontId="26" fillId="2" borderId="0" xfId="0" applyNumberFormat="1" applyFont="1" applyFill="1" applyProtection="1">
      <protection hidden="1"/>
    </xf>
    <xf numFmtId="0" fontId="29" fillId="2" borderId="0" xfId="0" applyFont="1" applyFill="1" applyProtection="1">
      <protection hidden="1"/>
    </xf>
    <xf numFmtId="164" fontId="30" fillId="2" borderId="0" xfId="1" applyNumberFormat="1" applyFont="1" applyFill="1" applyBorder="1" applyProtection="1">
      <protection hidden="1"/>
    </xf>
    <xf numFmtId="0" fontId="30" fillId="2" borderId="0" xfId="0" applyFont="1" applyFill="1" applyAlignment="1" applyProtection="1">
      <alignment horizontal="left"/>
      <protection hidden="1"/>
    </xf>
    <xf numFmtId="0" fontId="26" fillId="2" borderId="11" xfId="0" applyFont="1" applyFill="1" applyBorder="1" applyProtection="1">
      <protection hidden="1"/>
    </xf>
    <xf numFmtId="0" fontId="31" fillId="2" borderId="11" xfId="0" applyFont="1" applyFill="1" applyBorder="1" applyProtection="1">
      <protection hidden="1"/>
    </xf>
    <xf numFmtId="0" fontId="32" fillId="0" borderId="0" xfId="0" applyFont="1" applyProtection="1">
      <protection hidden="1"/>
    </xf>
    <xf numFmtId="0" fontId="29" fillId="4" borderId="0" xfId="0" applyFont="1" applyFill="1" applyProtection="1">
      <protection hidden="1"/>
    </xf>
    <xf numFmtId="0" fontId="26" fillId="0" borderId="0" xfId="0" applyFont="1" applyProtection="1">
      <protection hidden="1"/>
    </xf>
    <xf numFmtId="3" fontId="33" fillId="2" borderId="0" xfId="0" applyNumberFormat="1" applyFont="1" applyFill="1" applyProtection="1">
      <protection hidden="1"/>
    </xf>
    <xf numFmtId="164" fontId="34" fillId="2" borderId="0" xfId="1" applyNumberFormat="1" applyFont="1" applyFill="1" applyBorder="1" applyProtection="1">
      <protection hidden="1"/>
    </xf>
    <xf numFmtId="0" fontId="34" fillId="2" borderId="0" xfId="0" applyFont="1" applyFill="1" applyAlignment="1" applyProtection="1">
      <alignment horizontal="left"/>
      <protection hidden="1"/>
    </xf>
    <xf numFmtId="165" fontId="34" fillId="2" borderId="0" xfId="1" applyNumberFormat="1" applyFont="1" applyFill="1" applyBorder="1" applyProtection="1">
      <protection hidden="1"/>
    </xf>
    <xf numFmtId="0" fontId="29" fillId="2" borderId="0" xfId="0" applyFont="1" applyFill="1" applyAlignment="1" applyProtection="1">
      <alignment horizontal="right"/>
      <protection hidden="1"/>
    </xf>
    <xf numFmtId="0" fontId="36" fillId="2" borderId="0" xfId="0" applyFont="1" applyFill="1" applyAlignment="1" applyProtection="1">
      <alignment horizontal="right"/>
      <protection hidden="1"/>
    </xf>
    <xf numFmtId="0" fontId="37" fillId="2" borderId="0" xfId="0" applyFont="1" applyFill="1" applyProtection="1">
      <protection hidden="1"/>
    </xf>
    <xf numFmtId="0" fontId="31" fillId="2" borderId="0" xfId="0" applyFont="1" applyFill="1" applyProtection="1">
      <protection hidden="1"/>
    </xf>
    <xf numFmtId="0" fontId="30" fillId="2" borderId="0" xfId="0" applyFont="1" applyFill="1" applyProtection="1">
      <protection hidden="1"/>
    </xf>
    <xf numFmtId="0" fontId="26" fillId="2" borderId="0" xfId="0" applyFont="1" applyFill="1" applyAlignment="1" applyProtection="1">
      <alignment vertical="top"/>
      <protection hidden="1"/>
    </xf>
    <xf numFmtId="17" fontId="26" fillId="2" borderId="0" xfId="0" applyNumberFormat="1" applyFont="1" applyFill="1" applyProtection="1">
      <protection hidden="1"/>
    </xf>
    <xf numFmtId="172" fontId="26" fillId="3" borderId="1" xfId="0" applyNumberFormat="1" applyFont="1" applyFill="1" applyBorder="1" applyAlignment="1" applyProtection="1">
      <alignment horizontal="center"/>
      <protection locked="0" hidden="1"/>
    </xf>
    <xf numFmtId="166" fontId="29" fillId="2" borderId="0" xfId="0" applyNumberFormat="1" applyFont="1" applyFill="1" applyProtection="1">
      <protection hidden="1"/>
    </xf>
    <xf numFmtId="0" fontId="26" fillId="8" borderId="15" xfId="6" applyFont="1" applyFill="1">
      <protection locked="0"/>
    </xf>
    <xf numFmtId="14" fontId="26" fillId="8" borderId="15" xfId="6" applyNumberFormat="1" applyFont="1" applyFill="1">
      <protection locked="0"/>
    </xf>
    <xf numFmtId="0" fontId="38" fillId="0" borderId="0" xfId="5" applyFont="1" applyAlignment="1">
      <alignment horizontal="right"/>
    </xf>
    <xf numFmtId="14" fontId="39" fillId="12" borderId="13" xfId="4" applyNumberFormat="1" applyFont="1" applyProtection="1">
      <protection locked="0"/>
    </xf>
    <xf numFmtId="14" fontId="39" fillId="12" borderId="13" xfId="4" applyNumberFormat="1" applyFont="1"/>
    <xf numFmtId="0" fontId="39" fillId="12" borderId="13" xfId="4" applyNumberFormat="1" applyFont="1"/>
    <xf numFmtId="0" fontId="39" fillId="8" borderId="13" xfId="4" applyNumberFormat="1" applyFont="1" applyFill="1"/>
    <xf numFmtId="9" fontId="26" fillId="0" borderId="15" xfId="6" applyNumberFormat="1" applyFont="1" applyFill="1">
      <protection locked="0"/>
    </xf>
    <xf numFmtId="175" fontId="26" fillId="8" borderId="15" xfId="6" applyNumberFormat="1" applyFont="1" applyFill="1">
      <protection locked="0"/>
    </xf>
    <xf numFmtId="9" fontId="26" fillId="8" borderId="15" xfId="6" applyNumberFormat="1" applyFont="1" applyFill="1">
      <protection locked="0"/>
    </xf>
    <xf numFmtId="44" fontId="26" fillId="8" borderId="15" xfId="3" applyFont="1" applyFill="1" applyBorder="1" applyProtection="1">
      <protection locked="0"/>
    </xf>
    <xf numFmtId="49" fontId="26" fillId="8" borderId="15" xfId="6" applyNumberFormat="1" applyFont="1" applyFill="1">
      <protection locked="0"/>
    </xf>
    <xf numFmtId="176" fontId="26" fillId="8" borderId="15" xfId="6" applyNumberFormat="1" applyFont="1" applyFill="1">
      <protection locked="0"/>
    </xf>
    <xf numFmtId="185" fontId="26" fillId="0" borderId="15" xfId="3" applyNumberFormat="1" applyFont="1" applyFill="1" applyBorder="1" applyProtection="1">
      <protection locked="0"/>
    </xf>
    <xf numFmtId="185" fontId="26" fillId="8" borderId="15" xfId="3" applyNumberFormat="1" applyFont="1" applyFill="1" applyBorder="1" applyProtection="1">
      <protection locked="0"/>
    </xf>
    <xf numFmtId="173" fontId="29" fillId="2" borderId="0" xfId="0" applyNumberFormat="1" applyFont="1" applyFill="1" applyProtection="1">
      <protection hidden="1"/>
    </xf>
    <xf numFmtId="0" fontId="40" fillId="2" borderId="0" xfId="0" applyFont="1" applyFill="1" applyProtection="1">
      <protection hidden="1"/>
    </xf>
    <xf numFmtId="173" fontId="40" fillId="2" borderId="0" xfId="0" applyNumberFormat="1" applyFont="1" applyFill="1" applyProtection="1">
      <protection hidden="1"/>
    </xf>
    <xf numFmtId="0" fontId="7" fillId="0" borderId="0" xfId="0" applyFont="1" applyAlignment="1" applyProtection="1">
      <alignment vertical="top"/>
      <protection hidden="1"/>
    </xf>
    <xf numFmtId="0" fontId="26" fillId="2" borderId="39" xfId="0" applyFont="1" applyFill="1" applyBorder="1" applyAlignment="1" applyProtection="1">
      <alignment horizontal="center"/>
      <protection hidden="1"/>
    </xf>
    <xf numFmtId="0" fontId="26" fillId="2" borderId="39" xfId="0" applyFont="1" applyFill="1" applyBorder="1" applyAlignment="1" applyProtection="1">
      <alignment horizontal="center" wrapText="1"/>
      <protection hidden="1"/>
    </xf>
    <xf numFmtId="0" fontId="23" fillId="4" borderId="0" xfId="0" applyFont="1" applyFill="1" applyAlignment="1" applyProtection="1">
      <alignment horizontal="right"/>
      <protection hidden="1"/>
    </xf>
    <xf numFmtId="0" fontId="35" fillId="4" borderId="0" xfId="0" applyFont="1" applyFill="1" applyProtection="1">
      <protection hidden="1"/>
    </xf>
    <xf numFmtId="0" fontId="42" fillId="2" borderId="0" xfId="0" applyFont="1" applyFill="1" applyProtection="1">
      <protection hidden="1"/>
    </xf>
    <xf numFmtId="0" fontId="43" fillId="3" borderId="0" xfId="0" applyFont="1" applyFill="1" applyProtection="1">
      <protection hidden="1"/>
    </xf>
    <xf numFmtId="186" fontId="26" fillId="8" borderId="15" xfId="6" applyNumberFormat="1" applyFont="1" applyFill="1">
      <protection locked="0"/>
    </xf>
    <xf numFmtId="0" fontId="44" fillId="0" borderId="0" xfId="0" applyFont="1" applyProtection="1">
      <protection hidden="1"/>
    </xf>
    <xf numFmtId="0" fontId="44" fillId="4" borderId="0" xfId="0" applyFont="1" applyFill="1" applyProtection="1">
      <protection hidden="1"/>
    </xf>
    <xf numFmtId="0" fontId="45" fillId="4" borderId="0" xfId="0" applyFont="1" applyFill="1" applyProtection="1">
      <protection hidden="1"/>
    </xf>
    <xf numFmtId="0" fontId="26" fillId="4" borderId="0" xfId="0" applyFont="1" applyFill="1" applyProtection="1">
      <protection hidden="1"/>
    </xf>
    <xf numFmtId="0" fontId="26" fillId="4" borderId="0" xfId="0" applyFont="1" applyFill="1" applyAlignment="1" applyProtection="1">
      <alignment horizontal="center"/>
      <protection hidden="1"/>
    </xf>
    <xf numFmtId="0" fontId="26" fillId="4" borderId="0" xfId="0" applyFont="1" applyFill="1" applyAlignment="1" applyProtection="1">
      <alignment horizontal="left"/>
      <protection hidden="1"/>
    </xf>
    <xf numFmtId="0" fontId="23" fillId="4" borderId="0" xfId="0" applyFont="1" applyFill="1" applyAlignment="1" applyProtection="1">
      <alignment vertical="center"/>
      <protection hidden="1"/>
    </xf>
    <xf numFmtId="0" fontId="30" fillId="4" borderId="17" xfId="0" applyFont="1" applyFill="1" applyBorder="1" applyAlignment="1" applyProtection="1">
      <alignment horizontal="center" vertical="center"/>
      <protection hidden="1"/>
    </xf>
    <xf numFmtId="0" fontId="0" fillId="4" borderId="0" xfId="0" applyFont="1" applyFill="1" applyAlignment="1" applyProtection="1">
      <alignment vertical="center"/>
      <protection hidden="1"/>
    </xf>
    <xf numFmtId="0" fontId="47" fillId="4" borderId="17" xfId="0" applyFont="1" applyFill="1" applyBorder="1" applyAlignment="1" applyProtection="1">
      <alignment vertical="center"/>
      <protection hidden="1"/>
    </xf>
    <xf numFmtId="0" fontId="47" fillId="4" borderId="17" xfId="0" applyFont="1" applyFill="1" applyBorder="1" applyAlignment="1" applyProtection="1">
      <alignment horizontal="center" vertical="center" wrapText="1"/>
      <protection hidden="1"/>
    </xf>
    <xf numFmtId="0" fontId="47" fillId="4" borderId="17" xfId="0" applyFont="1" applyFill="1" applyBorder="1" applyAlignment="1" applyProtection="1">
      <alignment vertical="center" wrapText="1"/>
      <protection hidden="1"/>
    </xf>
    <xf numFmtId="0" fontId="26" fillId="4" borderId="0" xfId="0" applyFont="1" applyFill="1" applyAlignment="1" applyProtection="1">
      <alignment vertical="center"/>
      <protection hidden="1"/>
    </xf>
    <xf numFmtId="0" fontId="0" fillId="0" borderId="0" xfId="0" applyFont="1" applyAlignment="1" applyProtection="1">
      <alignment vertical="center"/>
      <protection hidden="1"/>
    </xf>
    <xf numFmtId="0" fontId="49" fillId="4" borderId="0" xfId="0" applyFont="1" applyFill="1" applyAlignment="1" applyProtection="1">
      <alignment horizontal="left"/>
      <protection hidden="1"/>
    </xf>
    <xf numFmtId="0" fontId="26" fillId="2" borderId="0" xfId="0" applyFont="1" applyFill="1" applyAlignment="1" applyProtection="1">
      <alignment vertical="center"/>
      <protection hidden="1"/>
    </xf>
    <xf numFmtId="0" fontId="51" fillId="4" borderId="0" xfId="0" applyFont="1" applyFill="1" applyAlignment="1" applyProtection="1">
      <alignment horizontal="left" vertical="center"/>
      <protection hidden="1"/>
    </xf>
    <xf numFmtId="0" fontId="47" fillId="4" borderId="17" xfId="0" applyFont="1" applyFill="1" applyBorder="1" applyProtection="1">
      <protection hidden="1"/>
    </xf>
    <xf numFmtId="0" fontId="47" fillId="4" borderId="17" xfId="0" applyFont="1" applyFill="1" applyBorder="1" applyAlignment="1" applyProtection="1">
      <alignment horizontal="center" wrapText="1"/>
      <protection hidden="1"/>
    </xf>
    <xf numFmtId="0" fontId="23" fillId="7" borderId="17" xfId="0" applyFont="1" applyFill="1" applyBorder="1" applyAlignment="1" applyProtection="1">
      <alignment vertical="center"/>
      <protection hidden="1"/>
    </xf>
    <xf numFmtId="0" fontId="23" fillId="8" borderId="17" xfId="0" applyFont="1" applyFill="1" applyBorder="1" applyAlignment="1" applyProtection="1">
      <alignment vertical="center"/>
      <protection hidden="1"/>
    </xf>
    <xf numFmtId="0" fontId="46" fillId="2" borderId="0" xfId="0" applyFont="1" applyFill="1" applyAlignment="1" applyProtection="1">
      <alignment horizontal="center" vertical="center"/>
      <protection hidden="1"/>
    </xf>
    <xf numFmtId="0" fontId="26" fillId="2" borderId="0" xfId="0" applyFont="1" applyFill="1" applyAlignment="1" applyProtection="1">
      <alignment horizontal="left"/>
      <protection hidden="1"/>
    </xf>
    <xf numFmtId="0" fontId="23" fillId="4" borderId="0" xfId="0" applyFont="1" applyFill="1" applyAlignment="1" applyProtection="1">
      <alignment horizontal="left" vertical="center"/>
      <protection hidden="1"/>
    </xf>
    <xf numFmtId="0" fontId="26" fillId="2" borderId="0" xfId="0" applyFont="1" applyFill="1" applyAlignment="1" applyProtection="1">
      <alignment vertical="center" wrapText="1"/>
      <protection hidden="1"/>
    </xf>
    <xf numFmtId="0" fontId="26" fillId="2" borderId="0" xfId="0" applyFont="1" applyFill="1" applyAlignment="1" applyProtection="1">
      <alignment horizontal="center"/>
      <protection hidden="1"/>
    </xf>
    <xf numFmtId="0" fontId="26" fillId="4" borderId="0" xfId="0" applyFont="1" applyFill="1" applyAlignment="1" applyProtection="1">
      <alignment horizontal="right" vertical="center" wrapText="1"/>
      <protection hidden="1"/>
    </xf>
    <xf numFmtId="0" fontId="30" fillId="4" borderId="17" xfId="0" applyFont="1" applyFill="1" applyBorder="1" applyAlignment="1" applyProtection="1">
      <alignment vertical="center"/>
      <protection hidden="1"/>
    </xf>
    <xf numFmtId="0" fontId="46" fillId="2" borderId="0" xfId="0" applyFont="1" applyFill="1" applyAlignment="1" applyProtection="1">
      <alignment horizontal="center" vertical="center" wrapText="1"/>
      <protection hidden="1"/>
    </xf>
    <xf numFmtId="0" fontId="26" fillId="2" borderId="0" xfId="0" applyFont="1" applyFill="1" applyAlignment="1" applyProtection="1">
      <alignment horizontal="center" vertical="center" wrapText="1"/>
      <protection hidden="1"/>
    </xf>
    <xf numFmtId="0" fontId="23" fillId="6" borderId="17" xfId="0" applyFont="1" applyFill="1" applyBorder="1" applyAlignment="1" applyProtection="1">
      <alignment horizontal="left" vertical="center" wrapText="1"/>
      <protection hidden="1"/>
    </xf>
    <xf numFmtId="0" fontId="23" fillId="4" borderId="37" xfId="0" applyFont="1" applyFill="1" applyBorder="1" applyAlignment="1" applyProtection="1">
      <alignment horizontal="right" vertical="center" wrapText="1"/>
      <protection hidden="1"/>
    </xf>
    <xf numFmtId="0" fontId="23" fillId="4" borderId="26" xfId="0" applyFont="1" applyFill="1" applyBorder="1" applyAlignment="1" applyProtection="1">
      <alignment horizontal="right" vertical="center" wrapText="1"/>
      <protection hidden="1"/>
    </xf>
    <xf numFmtId="0" fontId="23" fillId="4" borderId="38" xfId="0" applyFont="1" applyFill="1" applyBorder="1" applyAlignment="1" applyProtection="1">
      <alignment horizontal="right" vertical="center" wrapText="1"/>
      <protection hidden="1"/>
    </xf>
    <xf numFmtId="0" fontId="23" fillId="6" borderId="26" xfId="0" applyFont="1" applyFill="1" applyBorder="1" applyAlignment="1" applyProtection="1">
      <alignment horizontal="left" wrapText="1"/>
      <protection hidden="1"/>
    </xf>
    <xf numFmtId="0" fontId="23" fillId="7" borderId="26" xfId="0" applyFont="1" applyFill="1" applyBorder="1" applyAlignment="1" applyProtection="1">
      <alignment horizontal="left"/>
      <protection hidden="1"/>
    </xf>
    <xf numFmtId="0" fontId="23" fillId="8" borderId="26" xfId="0" applyFont="1" applyFill="1" applyBorder="1" applyAlignment="1" applyProtection="1">
      <alignment horizontal="left"/>
      <protection hidden="1"/>
    </xf>
    <xf numFmtId="0" fontId="49" fillId="4" borderId="0" xfId="0" applyFont="1" applyFill="1" applyProtection="1">
      <protection hidden="1"/>
    </xf>
    <xf numFmtId="0" fontId="23" fillId="4" borderId="17" xfId="0" applyFont="1" applyFill="1" applyBorder="1" applyAlignment="1" applyProtection="1">
      <alignment horizontal="center"/>
      <protection hidden="1"/>
    </xf>
    <xf numFmtId="0" fontId="55" fillId="0" borderId="0" xfId="0" applyFont="1" applyProtection="1">
      <protection hidden="1"/>
    </xf>
    <xf numFmtId="0" fontId="46" fillId="4" borderId="0" xfId="0" applyFont="1" applyFill="1" applyProtection="1">
      <protection hidden="1"/>
    </xf>
    <xf numFmtId="0" fontId="57" fillId="4" borderId="0" xfId="0" applyFont="1" applyFill="1" applyAlignment="1" applyProtection="1">
      <alignment vertical="center"/>
      <protection hidden="1"/>
    </xf>
    <xf numFmtId="0" fontId="58" fillId="4" borderId="0" xfId="0" applyFont="1" applyFill="1" applyAlignment="1" applyProtection="1">
      <alignment horizontal="left" vertical="center"/>
      <protection hidden="1"/>
    </xf>
    <xf numFmtId="0" fontId="59" fillId="4" borderId="0" xfId="0" quotePrefix="1" applyFont="1" applyFill="1" applyProtection="1">
      <protection hidden="1"/>
    </xf>
    <xf numFmtId="0" fontId="60" fillId="4" borderId="0" xfId="0" applyFont="1" applyFill="1" applyAlignment="1" applyProtection="1">
      <alignment vertical="center"/>
      <protection hidden="1"/>
    </xf>
    <xf numFmtId="0" fontId="23" fillId="0" borderId="0" xfId="0" applyFont="1" applyBorder="1" applyAlignment="1" applyProtection="1">
      <alignment horizontal="center" vertical="center"/>
      <protection hidden="1"/>
    </xf>
    <xf numFmtId="0" fontId="47" fillId="4" borderId="26" xfId="0" applyFont="1" applyFill="1" applyBorder="1" applyProtection="1">
      <protection hidden="1"/>
    </xf>
    <xf numFmtId="179" fontId="49" fillId="10" borderId="27" xfId="3" applyNumberFormat="1" applyFont="1" applyFill="1" applyBorder="1" applyAlignment="1" applyProtection="1">
      <alignment horizontal="center"/>
      <protection hidden="1"/>
    </xf>
    <xf numFmtId="179" fontId="49" fillId="4" borderId="17" xfId="3" applyNumberFormat="1" applyFont="1" applyFill="1" applyBorder="1" applyAlignment="1" applyProtection="1">
      <protection hidden="1"/>
    </xf>
    <xf numFmtId="180" fontId="49" fillId="10" borderId="17" xfId="0" applyNumberFormat="1" applyFont="1" applyFill="1" applyBorder="1" applyProtection="1">
      <protection hidden="1"/>
    </xf>
    <xf numFmtId="178" fontId="50" fillId="4" borderId="0" xfId="0" applyNumberFormat="1" applyFont="1" applyFill="1" applyAlignment="1" applyProtection="1">
      <alignment horizontal="center"/>
      <protection hidden="1"/>
    </xf>
    <xf numFmtId="44" fontId="50" fillId="4" borderId="0" xfId="3" applyFont="1" applyFill="1" applyAlignment="1" applyProtection="1">
      <alignment horizontal="center"/>
      <protection hidden="1"/>
    </xf>
    <xf numFmtId="179" fontId="50" fillId="4" borderId="0" xfId="3" applyNumberFormat="1" applyFont="1" applyFill="1" applyAlignment="1" applyProtection="1">
      <alignment horizontal="center"/>
      <protection hidden="1"/>
    </xf>
    <xf numFmtId="179" fontId="50" fillId="4" borderId="0" xfId="3" applyNumberFormat="1" applyFont="1" applyFill="1" applyAlignment="1" applyProtection="1">
      <protection hidden="1"/>
    </xf>
    <xf numFmtId="0" fontId="47" fillId="7" borderId="26" xfId="0" applyFont="1" applyFill="1" applyBorder="1" applyProtection="1">
      <protection hidden="1"/>
    </xf>
    <xf numFmtId="179" fontId="49" fillId="7" borderId="27" xfId="3" applyNumberFormat="1" applyFont="1" applyFill="1" applyBorder="1" applyAlignment="1" applyProtection="1">
      <alignment horizontal="center"/>
      <protection hidden="1"/>
    </xf>
    <xf numFmtId="0" fontId="47" fillId="8" borderId="26" xfId="0" applyFont="1" applyFill="1" applyBorder="1" applyProtection="1">
      <protection hidden="1"/>
    </xf>
    <xf numFmtId="179" fontId="49" fillId="8" borderId="27" xfId="3" applyNumberFormat="1" applyFont="1" applyFill="1" applyBorder="1" applyAlignment="1" applyProtection="1">
      <alignment horizontal="center"/>
      <protection hidden="1"/>
    </xf>
    <xf numFmtId="0" fontId="0" fillId="4" borderId="0" xfId="0" applyFont="1" applyFill="1" applyAlignment="1" applyProtection="1">
      <alignment horizontal="left"/>
      <protection hidden="1"/>
    </xf>
    <xf numFmtId="0" fontId="53" fillId="4" borderId="0" xfId="0" applyFont="1" applyFill="1" applyProtection="1">
      <protection hidden="1"/>
    </xf>
    <xf numFmtId="0" fontId="54" fillId="4" borderId="0" xfId="0" applyFont="1" applyFill="1" applyProtection="1">
      <protection hidden="1"/>
    </xf>
    <xf numFmtId="0" fontId="52" fillId="4" borderId="0" xfId="0" applyFont="1" applyFill="1" applyProtection="1">
      <protection hidden="1"/>
    </xf>
    <xf numFmtId="184" fontId="26" fillId="4" borderId="27" xfId="0" applyNumberFormat="1" applyFont="1" applyFill="1" applyBorder="1" applyAlignment="1" applyProtection="1">
      <alignment horizontal="center"/>
      <protection hidden="1"/>
    </xf>
    <xf numFmtId="0" fontId="0" fillId="4" borderId="0" xfId="0" applyFill="1" applyBorder="1" applyProtection="1">
      <protection hidden="1"/>
    </xf>
    <xf numFmtId="0" fontId="0" fillId="4" borderId="0" xfId="0" applyFill="1" applyAlignment="1" applyProtection="1">
      <alignment horizontal="right"/>
      <protection hidden="1"/>
    </xf>
    <xf numFmtId="0" fontId="0" fillId="4" borderId="0" xfId="0" applyFont="1" applyFill="1" applyAlignment="1" applyProtection="1">
      <alignment horizontal="right"/>
      <protection hidden="1"/>
    </xf>
    <xf numFmtId="0" fontId="40" fillId="2" borderId="0" xfId="0" applyFont="1" applyFill="1" applyProtection="1">
      <protection locked="0" hidden="1"/>
    </xf>
    <xf numFmtId="0" fontId="23" fillId="2" borderId="0" xfId="0" applyFont="1" applyFill="1" applyProtection="1">
      <protection locked="0" hidden="1"/>
    </xf>
    <xf numFmtId="0" fontId="0" fillId="0" borderId="0" xfId="0" applyFont="1" applyProtection="1">
      <protection locked="0" hidden="1"/>
    </xf>
    <xf numFmtId="0" fontId="26" fillId="0" borderId="0" xfId="0" applyFont="1" applyProtection="1">
      <protection locked="0" hidden="1"/>
    </xf>
    <xf numFmtId="0" fontId="0" fillId="0" borderId="0" xfId="0" applyProtection="1">
      <protection locked="0" hidden="1"/>
    </xf>
    <xf numFmtId="0" fontId="3" fillId="0" borderId="0" xfId="0" applyFont="1" applyProtection="1">
      <protection locked="0" hidden="1"/>
    </xf>
    <xf numFmtId="168" fontId="26" fillId="3" borderId="1" xfId="0" applyNumberFormat="1" applyFont="1" applyFill="1" applyBorder="1" applyProtection="1">
      <protection hidden="1"/>
    </xf>
    <xf numFmtId="164" fontId="29" fillId="4" borderId="0" xfId="0" applyNumberFormat="1" applyFont="1" applyFill="1" applyProtection="1">
      <protection hidden="1"/>
    </xf>
    <xf numFmtId="0" fontId="5" fillId="2" borderId="0" xfId="0" applyFont="1" applyFill="1" applyAlignment="1" applyProtection="1">
      <alignment horizontal="right" vertical="top"/>
      <protection hidden="1"/>
    </xf>
    <xf numFmtId="0" fontId="26" fillId="4" borderId="0" xfId="0" applyFont="1" applyFill="1" applyAlignment="1" applyProtection="1">
      <alignment vertical="top" wrapText="1"/>
      <protection hidden="1"/>
    </xf>
    <xf numFmtId="166" fontId="26" fillId="2" borderId="0" xfId="0" applyNumberFormat="1" applyFont="1" applyFill="1" applyProtection="1">
      <protection hidden="1"/>
    </xf>
    <xf numFmtId="164" fontId="26" fillId="4" borderId="0" xfId="0" applyNumberFormat="1" applyFont="1" applyFill="1" applyProtection="1">
      <protection hidden="1"/>
    </xf>
    <xf numFmtId="0" fontId="29" fillId="4" borderId="0" xfId="0" applyFont="1" applyFill="1" applyAlignment="1" applyProtection="1">
      <alignment vertical="top" wrapText="1"/>
      <protection hidden="1"/>
    </xf>
    <xf numFmtId="2" fontId="29" fillId="4" borderId="0" xfId="0" applyNumberFormat="1" applyFont="1" applyFill="1" applyProtection="1">
      <protection hidden="1"/>
    </xf>
    <xf numFmtId="0" fontId="61" fillId="4" borderId="0" xfId="0" applyFont="1" applyFill="1" applyProtection="1">
      <protection hidden="1"/>
    </xf>
    <xf numFmtId="0" fontId="62" fillId="2" borderId="0" xfId="0" applyFont="1" applyFill="1" applyBorder="1" applyProtection="1">
      <protection hidden="1"/>
    </xf>
    <xf numFmtId="0" fontId="29" fillId="4" borderId="0" xfId="0" applyFont="1" applyFill="1" applyBorder="1" applyProtection="1">
      <protection hidden="1"/>
    </xf>
    <xf numFmtId="0" fontId="37" fillId="4" borderId="0" xfId="0" applyFont="1" applyFill="1" applyBorder="1" applyAlignment="1" applyProtection="1">
      <alignment horizontal="left"/>
      <protection hidden="1"/>
    </xf>
    <xf numFmtId="0" fontId="37" fillId="4" borderId="0" xfId="0" applyFont="1" applyFill="1" applyBorder="1" applyAlignment="1" applyProtection="1">
      <alignment horizontal="left" vertical="center" wrapText="1"/>
      <protection hidden="1"/>
    </xf>
    <xf numFmtId="0" fontId="37" fillId="4" borderId="0"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protection hidden="1"/>
    </xf>
    <xf numFmtId="3" fontId="29" fillId="4" borderId="0" xfId="0" applyNumberFormat="1" applyFont="1" applyFill="1" applyBorder="1" applyProtection="1">
      <protection hidden="1"/>
    </xf>
    <xf numFmtId="0" fontId="52" fillId="4" borderId="0" xfId="0" applyFont="1" applyFill="1" applyAlignment="1" applyProtection="1">
      <alignment vertical="center"/>
      <protection hidden="1"/>
    </xf>
    <xf numFmtId="183" fontId="26" fillId="4" borderId="27" xfId="0" applyNumberFormat="1" applyFont="1" applyFill="1" applyBorder="1" applyAlignment="1" applyProtection="1">
      <alignment horizontal="center"/>
      <protection hidden="1"/>
    </xf>
    <xf numFmtId="170" fontId="26" fillId="3" borderId="1" xfId="0" applyNumberFormat="1" applyFont="1" applyFill="1" applyBorder="1" applyAlignment="1" applyProtection="1">
      <alignment horizontal="center"/>
      <protection locked="0" hidden="1"/>
    </xf>
    <xf numFmtId="3" fontId="26" fillId="3" borderId="1" xfId="1" applyNumberFormat="1" applyFont="1" applyFill="1" applyBorder="1" applyProtection="1">
      <protection locked="0" hidden="1"/>
    </xf>
    <xf numFmtId="171" fontId="26" fillId="3" borderId="12" xfId="1" applyNumberFormat="1" applyFont="1" applyFill="1" applyBorder="1" applyAlignment="1" applyProtection="1">
      <alignment horizontal="center"/>
      <protection locked="0"/>
    </xf>
    <xf numFmtId="171" fontId="26" fillId="3" borderId="12" xfId="1" applyNumberFormat="1" applyFont="1" applyFill="1" applyBorder="1" applyAlignment="1" applyProtection="1">
      <alignment horizontal="center" vertical="center"/>
      <protection locked="0"/>
    </xf>
    <xf numFmtId="168" fontId="31" fillId="3" borderId="1" xfId="0" applyNumberFormat="1" applyFont="1" applyFill="1" applyBorder="1" applyAlignment="1" applyProtection="1">
      <alignment horizontal="center"/>
      <protection locked="0"/>
    </xf>
    <xf numFmtId="3" fontId="26" fillId="3" borderId="1" xfId="0" applyNumberFormat="1" applyFont="1" applyFill="1" applyBorder="1" applyAlignment="1" applyProtection="1">
      <alignment horizontal="center"/>
      <protection locked="0"/>
    </xf>
    <xf numFmtId="43" fontId="26" fillId="3" borderId="1" xfId="1" applyFont="1" applyFill="1" applyBorder="1" applyProtection="1">
      <protection locked="0"/>
    </xf>
    <xf numFmtId="164" fontId="26" fillId="3" borderId="1" xfId="1" applyNumberFormat="1" applyFont="1" applyFill="1" applyBorder="1" applyProtection="1">
      <protection locked="0"/>
    </xf>
    <xf numFmtId="168" fontId="26" fillId="3" borderId="1" xfId="0" applyNumberFormat="1" applyFont="1" applyFill="1" applyBorder="1" applyAlignment="1" applyProtection="1">
      <alignment horizontal="center"/>
      <protection locked="0"/>
    </xf>
    <xf numFmtId="167" fontId="26" fillId="3" borderId="1" xfId="0" applyNumberFormat="1" applyFont="1" applyFill="1" applyBorder="1" applyProtection="1">
      <protection locked="0"/>
    </xf>
    <xf numFmtId="2" fontId="0" fillId="2" borderId="10" xfId="0" applyNumberFormat="1" applyFont="1" applyFill="1" applyBorder="1" applyProtection="1">
      <protection locked="0"/>
    </xf>
    <xf numFmtId="2" fontId="0" fillId="2" borderId="0" xfId="0" applyNumberFormat="1" applyFont="1" applyFill="1" applyProtection="1">
      <protection locked="0"/>
    </xf>
    <xf numFmtId="1" fontId="26" fillId="3" borderId="12" xfId="1" applyNumberFormat="1" applyFont="1" applyFill="1" applyBorder="1" applyProtection="1">
      <protection locked="0"/>
    </xf>
    <xf numFmtId="14" fontId="26" fillId="3" borderId="12" xfId="1" applyNumberFormat="1" applyFont="1" applyFill="1" applyBorder="1" applyProtection="1">
      <protection locked="0"/>
    </xf>
    <xf numFmtId="167" fontId="26" fillId="3" borderId="40" xfId="1" applyNumberFormat="1" applyFont="1" applyFill="1" applyBorder="1" applyProtection="1">
      <protection locked="0"/>
    </xf>
    <xf numFmtId="167" fontId="26" fillId="3" borderId="12" xfId="1" applyNumberFormat="1" applyFont="1" applyFill="1" applyBorder="1" applyProtection="1">
      <protection locked="0"/>
    </xf>
    <xf numFmtId="171" fontId="26" fillId="3" borderId="41" xfId="1" applyNumberFormat="1" applyFont="1" applyFill="1" applyBorder="1" applyAlignment="1" applyProtection="1">
      <alignment horizontal="center"/>
      <protection locked="0"/>
    </xf>
    <xf numFmtId="167" fontId="41" fillId="11" borderId="12" xfId="4" applyNumberFormat="1" applyFont="1" applyFill="1" applyBorder="1" applyProtection="1">
      <protection hidden="1"/>
    </xf>
    <xf numFmtId="0" fontId="23" fillId="0" borderId="1" xfId="0" applyFont="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14" fontId="26" fillId="0" borderId="1" xfId="0" applyNumberFormat="1" applyFont="1" applyBorder="1" applyAlignment="1" applyProtection="1">
      <alignment horizontal="center"/>
      <protection locked="0"/>
    </xf>
    <xf numFmtId="184" fontId="26" fillId="0" borderId="1" xfId="0" applyNumberFormat="1" applyFont="1" applyBorder="1" applyAlignment="1" applyProtection="1">
      <alignment horizontal="center"/>
      <protection locked="0"/>
    </xf>
    <xf numFmtId="183" fontId="26" fillId="0" borderId="1" xfId="0" applyNumberFormat="1" applyFont="1" applyBorder="1" applyAlignment="1" applyProtection="1">
      <alignment horizontal="center"/>
      <protection locked="0"/>
    </xf>
    <xf numFmtId="0" fontId="40" fillId="4" borderId="0" xfId="0" applyFont="1" applyFill="1" applyAlignment="1" applyProtection="1">
      <alignment horizontal="right"/>
      <protection hidden="1"/>
    </xf>
    <xf numFmtId="167" fontId="0" fillId="4" borderId="0" xfId="0" applyNumberFormat="1" applyFont="1" applyFill="1" applyProtection="1">
      <protection hidden="1"/>
    </xf>
    <xf numFmtId="167" fontId="0" fillId="4" borderId="0" xfId="0" applyNumberFormat="1" applyFont="1" applyFill="1" applyAlignment="1" applyProtection="1">
      <alignment vertical="top"/>
      <protection hidden="1"/>
    </xf>
    <xf numFmtId="0" fontId="0" fillId="4" borderId="0" xfId="0" applyFont="1" applyFill="1" applyAlignment="1" applyProtection="1">
      <alignment horizontal="center"/>
      <protection hidden="1"/>
    </xf>
    <xf numFmtId="167" fontId="0" fillId="4" borderId="0" xfId="0" applyNumberFormat="1" applyFont="1" applyFill="1" applyAlignment="1" applyProtection="1">
      <alignment horizontal="center"/>
      <protection hidden="1"/>
    </xf>
    <xf numFmtId="0" fontId="23" fillId="4" borderId="0" xfId="0" applyFont="1" applyFill="1" applyProtection="1">
      <protection hidden="1"/>
    </xf>
    <xf numFmtId="167" fontId="26" fillId="4" borderId="0" xfId="0" applyNumberFormat="1" applyFont="1" applyFill="1" applyProtection="1">
      <protection hidden="1"/>
    </xf>
    <xf numFmtId="0" fontId="23" fillId="4" borderId="0" xfId="0" applyFont="1" applyFill="1" applyAlignment="1" applyProtection="1">
      <alignment wrapText="1"/>
      <protection hidden="1"/>
    </xf>
    <xf numFmtId="167" fontId="26" fillId="4" borderId="0" xfId="0" applyNumberFormat="1" applyFont="1" applyFill="1" applyAlignment="1" applyProtection="1">
      <alignment vertical="top"/>
      <protection hidden="1"/>
    </xf>
    <xf numFmtId="167" fontId="26" fillId="4" borderId="42" xfId="0" applyNumberFormat="1" applyFont="1" applyFill="1" applyBorder="1" applyProtection="1">
      <protection hidden="1"/>
    </xf>
    <xf numFmtId="167" fontId="23" fillId="4" borderId="45" xfId="0" applyNumberFormat="1" applyFont="1" applyFill="1" applyBorder="1" applyProtection="1">
      <protection hidden="1"/>
    </xf>
    <xf numFmtId="0" fontId="26" fillId="2" borderId="4" xfId="0" applyFont="1" applyFill="1" applyBorder="1" applyAlignment="1" applyProtection="1">
      <alignment horizontal="center" wrapText="1"/>
      <protection hidden="1"/>
    </xf>
    <xf numFmtId="0" fontId="3" fillId="4" borderId="0" xfId="0" applyFont="1" applyFill="1" applyBorder="1" applyProtection="1">
      <protection hidden="1"/>
    </xf>
    <xf numFmtId="0" fontId="26" fillId="4" borderId="0" xfId="0" applyFont="1" applyFill="1" applyAlignment="1" applyProtection="1">
      <alignment horizontal="center"/>
      <protection hidden="1"/>
    </xf>
    <xf numFmtId="0" fontId="0" fillId="0" borderId="0" xfId="0" applyFont="1" applyAlignment="1">
      <alignment horizontal="right" vertical="center"/>
    </xf>
    <xf numFmtId="0" fontId="0" fillId="4" borderId="0" xfId="0" applyFill="1"/>
    <xf numFmtId="182" fontId="26" fillId="4" borderId="0" xfId="0" applyNumberFormat="1" applyFont="1" applyFill="1" applyAlignment="1" applyProtection="1">
      <alignment horizontal="center"/>
      <protection hidden="1"/>
    </xf>
    <xf numFmtId="0" fontId="29" fillId="4" borderId="0" xfId="0" applyFont="1" applyFill="1" applyAlignment="1" applyProtection="1">
      <alignment horizontal="center"/>
      <protection hidden="1"/>
    </xf>
    <xf numFmtId="0" fontId="67" fillId="2" borderId="0" xfId="0" quotePrefix="1" applyFont="1" applyFill="1" applyAlignment="1" applyProtection="1">
      <protection hidden="1"/>
    </xf>
    <xf numFmtId="0" fontId="68" fillId="2" borderId="0" xfId="0" applyFont="1" applyFill="1" applyAlignment="1" applyProtection="1">
      <alignment horizontal="right"/>
      <protection hidden="1"/>
    </xf>
    <xf numFmtId="0" fontId="66" fillId="4" borderId="0" xfId="0" applyFont="1" applyFill="1" applyAlignment="1" applyProtection="1">
      <alignment vertical="top" wrapText="1"/>
      <protection hidden="1"/>
    </xf>
    <xf numFmtId="168" fontId="26" fillId="3" borderId="7" xfId="0" applyNumberFormat="1" applyFont="1" applyFill="1" applyBorder="1" applyAlignment="1" applyProtection="1">
      <alignment horizontal="center"/>
      <protection locked="0"/>
    </xf>
    <xf numFmtId="0" fontId="0" fillId="3" borderId="8" xfId="0" applyFont="1" applyFill="1" applyBorder="1" applyAlignment="1" applyProtection="1">
      <alignment horizontal="center"/>
      <protection locked="0"/>
    </xf>
    <xf numFmtId="0" fontId="0" fillId="3" borderId="9" xfId="0" applyFont="1" applyFill="1" applyBorder="1" applyAlignment="1" applyProtection="1">
      <alignment horizontal="center"/>
      <protection locked="0"/>
    </xf>
    <xf numFmtId="0" fontId="37" fillId="4" borderId="0" xfId="0" applyFont="1" applyFill="1" applyBorder="1" applyAlignment="1" applyProtection="1">
      <alignment horizontal="center"/>
      <protection hidden="1"/>
    </xf>
    <xf numFmtId="167" fontId="26" fillId="4" borderId="43" xfId="0" applyNumberFormat="1" applyFont="1" applyFill="1" applyBorder="1" applyAlignment="1" applyProtection="1">
      <alignment horizontal="center"/>
      <protection hidden="1"/>
    </xf>
    <xf numFmtId="167" fontId="26" fillId="4" borderId="44" xfId="0" applyNumberFormat="1" applyFont="1" applyFill="1" applyBorder="1" applyAlignment="1" applyProtection="1">
      <alignment horizontal="center"/>
      <protection hidden="1"/>
    </xf>
    <xf numFmtId="167" fontId="23" fillId="4" borderId="46" xfId="0" applyNumberFormat="1" applyFont="1" applyFill="1" applyBorder="1" applyAlignment="1" applyProtection="1">
      <alignment horizontal="center"/>
      <protection hidden="1"/>
    </xf>
    <xf numFmtId="167" fontId="23" fillId="4" borderId="47" xfId="0" applyNumberFormat="1" applyFont="1" applyFill="1" applyBorder="1" applyAlignment="1" applyProtection="1">
      <alignment horizontal="center"/>
      <protection hidden="1"/>
    </xf>
    <xf numFmtId="0" fontId="26" fillId="2" borderId="0" xfId="0" applyFont="1" applyFill="1" applyAlignment="1" applyProtection="1">
      <alignment horizontal="left" vertical="top" wrapText="1"/>
      <protection hidden="1"/>
    </xf>
    <xf numFmtId="0" fontId="23" fillId="0" borderId="7" xfId="0" applyFont="1" applyBorder="1" applyAlignment="1" applyProtection="1">
      <alignment horizontal="center" vertical="center"/>
      <protection hidden="1"/>
    </xf>
    <xf numFmtId="0" fontId="23" fillId="0" borderId="9" xfId="0" applyFont="1" applyBorder="1" applyAlignment="1" applyProtection="1">
      <alignment horizontal="center" vertical="center"/>
      <protection hidden="1"/>
    </xf>
    <xf numFmtId="0" fontId="23" fillId="6" borderId="26" xfId="0" applyFont="1" applyFill="1" applyBorder="1" applyAlignment="1" applyProtection="1">
      <alignment horizontal="left" vertical="center"/>
      <protection hidden="1"/>
    </xf>
    <xf numFmtId="0" fontId="23" fillId="6" borderId="48" xfId="0" applyFont="1" applyFill="1" applyBorder="1" applyAlignment="1" applyProtection="1">
      <alignment horizontal="left" vertical="center"/>
      <protection hidden="1"/>
    </xf>
    <xf numFmtId="0" fontId="23" fillId="7" borderId="26" xfId="0" applyFont="1" applyFill="1" applyBorder="1" applyAlignment="1" applyProtection="1">
      <alignment horizontal="left" vertical="center"/>
      <protection hidden="1"/>
    </xf>
    <xf numFmtId="0" fontId="23" fillId="7" borderId="48" xfId="0" applyFont="1" applyFill="1" applyBorder="1" applyAlignment="1" applyProtection="1">
      <alignment horizontal="left" vertical="center"/>
      <protection hidden="1"/>
    </xf>
    <xf numFmtId="0" fontId="23" fillId="8" borderId="21" xfId="0" applyFont="1" applyFill="1" applyBorder="1" applyAlignment="1" applyProtection="1">
      <alignment horizontal="left" vertical="center"/>
      <protection hidden="1"/>
    </xf>
    <xf numFmtId="0" fontId="23" fillId="8" borderId="22" xfId="0" applyFont="1" applyFill="1" applyBorder="1" applyAlignment="1" applyProtection="1">
      <alignment horizontal="left" vertical="center"/>
      <protection hidden="1"/>
    </xf>
    <xf numFmtId="0" fontId="56" fillId="4" borderId="26" xfId="0" applyFont="1" applyFill="1" applyBorder="1" applyAlignment="1" applyProtection="1">
      <alignment horizontal="right" vertical="center" wrapText="1"/>
      <protection hidden="1"/>
    </xf>
    <xf numFmtId="0" fontId="56" fillId="4" borderId="28" xfId="0" applyFont="1" applyFill="1" applyBorder="1" applyAlignment="1" applyProtection="1">
      <alignment horizontal="right" vertical="center" wrapText="1"/>
      <protection hidden="1"/>
    </xf>
    <xf numFmtId="0" fontId="56" fillId="4" borderId="27" xfId="0" applyFont="1" applyFill="1" applyBorder="1" applyAlignment="1" applyProtection="1">
      <alignment horizontal="right" vertical="center" wrapText="1"/>
      <protection hidden="1"/>
    </xf>
    <xf numFmtId="0" fontId="23" fillId="4" borderId="29" xfId="0" applyFont="1" applyFill="1" applyBorder="1" applyAlignment="1" applyProtection="1">
      <alignment horizontal="right" vertical="center" wrapText="1"/>
      <protection hidden="1"/>
    </xf>
    <xf numFmtId="0" fontId="23" fillId="4" borderId="0" xfId="0" applyFont="1" applyFill="1" applyAlignment="1" applyProtection="1">
      <alignment horizontal="right" vertical="center" wrapText="1"/>
      <protection hidden="1"/>
    </xf>
    <xf numFmtId="0" fontId="23" fillId="4" borderId="36" xfId="0" applyFont="1" applyFill="1" applyBorder="1" applyAlignment="1" applyProtection="1">
      <alignment horizontal="right" vertical="center" wrapText="1"/>
      <protection hidden="1"/>
    </xf>
    <xf numFmtId="0" fontId="23" fillId="4" borderId="21" xfId="0" applyFont="1" applyFill="1" applyBorder="1" applyAlignment="1" applyProtection="1">
      <alignment horizontal="right" vertical="center" wrapText="1"/>
      <protection hidden="1"/>
    </xf>
    <xf numFmtId="0" fontId="23" fillId="4" borderId="22" xfId="0" applyFont="1" applyFill="1" applyBorder="1" applyAlignment="1" applyProtection="1">
      <alignment horizontal="right" vertical="center" wrapText="1"/>
      <protection hidden="1"/>
    </xf>
    <xf numFmtId="0" fontId="23" fillId="4" borderId="23" xfId="0" applyFont="1" applyFill="1" applyBorder="1" applyAlignment="1" applyProtection="1">
      <alignment horizontal="right" vertical="center" wrapText="1"/>
      <protection hidden="1"/>
    </xf>
    <xf numFmtId="0" fontId="26" fillId="4" borderId="18" xfId="0" applyFont="1" applyFill="1" applyBorder="1" applyAlignment="1" applyProtection="1">
      <alignment horizontal="center" vertical="center"/>
      <protection hidden="1"/>
    </xf>
    <xf numFmtId="0" fontId="26" fillId="4" borderId="19" xfId="0" applyFont="1" applyFill="1" applyBorder="1" applyAlignment="1" applyProtection="1">
      <alignment horizontal="center" vertical="center"/>
      <protection hidden="1"/>
    </xf>
    <xf numFmtId="0" fontId="26" fillId="4" borderId="20" xfId="0" applyFont="1" applyFill="1" applyBorder="1" applyAlignment="1" applyProtection="1">
      <alignment horizontal="center" vertical="center"/>
      <protection hidden="1"/>
    </xf>
    <xf numFmtId="0" fontId="26" fillId="4" borderId="21" xfId="0" applyFont="1" applyFill="1" applyBorder="1" applyAlignment="1" applyProtection="1">
      <alignment horizontal="center" vertical="center"/>
      <protection hidden="1"/>
    </xf>
    <xf numFmtId="0" fontId="26" fillId="4" borderId="22" xfId="0" applyFont="1" applyFill="1" applyBorder="1" applyAlignment="1" applyProtection="1">
      <alignment horizontal="center" vertical="center"/>
      <protection hidden="1"/>
    </xf>
    <xf numFmtId="0" fontId="26" fillId="4" borderId="23" xfId="0" applyFont="1" applyFill="1" applyBorder="1" applyAlignment="1" applyProtection="1">
      <alignment horizontal="center" vertical="center"/>
      <protection hidden="1"/>
    </xf>
    <xf numFmtId="0" fontId="30" fillId="4" borderId="17" xfId="0" applyFont="1" applyFill="1" applyBorder="1" applyAlignment="1" applyProtection="1">
      <alignment horizontal="center" vertical="center" wrapText="1"/>
      <protection hidden="1"/>
    </xf>
    <xf numFmtId="0" fontId="23" fillId="9" borderId="24" xfId="0" applyFont="1" applyFill="1" applyBorder="1" applyAlignment="1" applyProtection="1">
      <alignment horizontal="center" vertical="center" wrapText="1"/>
      <protection hidden="1"/>
    </xf>
    <xf numFmtId="0" fontId="23" fillId="9" borderId="25" xfId="0" applyFont="1" applyFill="1" applyBorder="1" applyAlignment="1" applyProtection="1">
      <alignment horizontal="center" vertical="center" wrapText="1"/>
      <protection hidden="1"/>
    </xf>
    <xf numFmtId="0" fontId="23" fillId="9" borderId="30" xfId="0" applyFont="1" applyFill="1" applyBorder="1" applyAlignment="1" applyProtection="1">
      <alignment horizontal="center" vertical="center" wrapText="1"/>
      <protection hidden="1"/>
    </xf>
    <xf numFmtId="0" fontId="23" fillId="7" borderId="17" xfId="0" applyFont="1" applyFill="1" applyBorder="1" applyAlignment="1" applyProtection="1">
      <alignment horizontal="center" vertical="center"/>
      <protection hidden="1"/>
    </xf>
    <xf numFmtId="0" fontId="23" fillId="7" borderId="26" xfId="0" applyFont="1" applyFill="1" applyBorder="1" applyAlignment="1" applyProtection="1">
      <alignment horizontal="center" vertical="center"/>
      <protection hidden="1"/>
    </xf>
    <xf numFmtId="0" fontId="23" fillId="4" borderId="27" xfId="0" applyFont="1" applyFill="1" applyBorder="1" applyAlignment="1" applyProtection="1">
      <alignment horizontal="center" vertical="center" wrapText="1"/>
      <protection hidden="1"/>
    </xf>
    <xf numFmtId="0" fontId="23" fillId="4" borderId="17" xfId="0" applyFont="1" applyFill="1" applyBorder="1" applyAlignment="1" applyProtection="1">
      <alignment horizontal="center" vertical="center" wrapText="1"/>
      <protection hidden="1"/>
    </xf>
    <xf numFmtId="0" fontId="23" fillId="4" borderId="30" xfId="0" applyFont="1" applyFill="1" applyBorder="1" applyAlignment="1" applyProtection="1">
      <alignment horizontal="center" vertical="center"/>
      <protection hidden="1"/>
    </xf>
    <xf numFmtId="0" fontId="23" fillId="4" borderId="17" xfId="0" applyFont="1" applyFill="1" applyBorder="1" applyAlignment="1" applyProtection="1">
      <alignment horizontal="center" vertical="center"/>
      <protection hidden="1"/>
    </xf>
    <xf numFmtId="0" fontId="23" fillId="8" borderId="17" xfId="0" applyFont="1" applyFill="1" applyBorder="1" applyAlignment="1" applyProtection="1">
      <alignment horizontal="center" vertical="center"/>
      <protection hidden="1"/>
    </xf>
    <xf numFmtId="0" fontId="23" fillId="8" borderId="26" xfId="0" applyFont="1" applyFill="1" applyBorder="1" applyAlignment="1" applyProtection="1">
      <alignment horizontal="center" vertical="center"/>
      <protection hidden="1"/>
    </xf>
    <xf numFmtId="0" fontId="47" fillId="10" borderId="26" xfId="0" applyFont="1" applyFill="1" applyBorder="1" applyAlignment="1" applyProtection="1">
      <alignment horizontal="left"/>
      <protection hidden="1"/>
    </xf>
    <xf numFmtId="0" fontId="47" fillId="10" borderId="27" xfId="0" applyFont="1" applyFill="1" applyBorder="1" applyAlignment="1" applyProtection="1">
      <alignment horizontal="left"/>
      <protection hidden="1"/>
    </xf>
    <xf numFmtId="183" fontId="26" fillId="0" borderId="1" xfId="0" applyNumberFormat="1" applyFont="1" applyBorder="1" applyAlignment="1" applyProtection="1">
      <alignment horizontal="center"/>
      <protection locked="0"/>
    </xf>
    <xf numFmtId="1" fontId="26" fillId="4" borderId="26" xfId="0" applyNumberFormat="1" applyFont="1" applyFill="1" applyBorder="1" applyAlignment="1" applyProtection="1">
      <alignment horizontal="center"/>
      <protection hidden="1"/>
    </xf>
    <xf numFmtId="1" fontId="26" fillId="4" borderId="27" xfId="0" applyNumberFormat="1" applyFont="1" applyFill="1" applyBorder="1" applyAlignment="1" applyProtection="1">
      <alignment horizontal="center"/>
      <protection hidden="1"/>
    </xf>
    <xf numFmtId="183" fontId="26" fillId="4" borderId="17" xfId="0" applyNumberFormat="1" applyFont="1" applyFill="1" applyBorder="1" applyAlignment="1" applyProtection="1">
      <alignment horizontal="center" wrapText="1"/>
      <protection hidden="1"/>
    </xf>
    <xf numFmtId="0" fontId="23" fillId="6" borderId="18" xfId="0" applyFont="1" applyFill="1" applyBorder="1" applyAlignment="1" applyProtection="1">
      <alignment horizontal="center" vertical="center" wrapText="1"/>
      <protection hidden="1"/>
    </xf>
    <xf numFmtId="0" fontId="23" fillId="6" borderId="21" xfId="0" applyFont="1" applyFill="1" applyBorder="1" applyAlignment="1" applyProtection="1">
      <alignment horizontal="center" vertical="center" wrapText="1"/>
      <protection hidden="1"/>
    </xf>
    <xf numFmtId="177" fontId="23" fillId="10" borderId="18" xfId="3" applyNumberFormat="1" applyFont="1" applyFill="1" applyBorder="1" applyAlignment="1" applyProtection="1">
      <alignment horizontal="center" vertical="center"/>
      <protection hidden="1"/>
    </xf>
    <xf numFmtId="177" fontId="23" fillId="10" borderId="20" xfId="3" applyNumberFormat="1" applyFont="1" applyFill="1" applyBorder="1" applyAlignment="1" applyProtection="1">
      <alignment horizontal="center" vertical="center"/>
      <protection hidden="1"/>
    </xf>
    <xf numFmtId="177" fontId="23" fillId="10" borderId="21" xfId="3" applyNumberFormat="1" applyFont="1" applyFill="1" applyBorder="1" applyAlignment="1" applyProtection="1">
      <alignment horizontal="center" vertical="center"/>
      <protection hidden="1"/>
    </xf>
    <xf numFmtId="177" fontId="23" fillId="10" borderId="23" xfId="3" applyNumberFormat="1" applyFont="1" applyFill="1" applyBorder="1" applyAlignment="1" applyProtection="1">
      <alignment horizontal="center" vertical="center"/>
      <protection hidden="1"/>
    </xf>
    <xf numFmtId="177" fontId="23" fillId="7" borderId="26" xfId="3" applyNumberFormat="1" applyFont="1" applyFill="1" applyBorder="1" applyAlignment="1" applyProtection="1">
      <alignment horizontal="center" vertical="center"/>
      <protection hidden="1"/>
    </xf>
    <xf numFmtId="177" fontId="23" fillId="7" borderId="27" xfId="3" applyNumberFormat="1" applyFont="1" applyFill="1" applyBorder="1" applyAlignment="1" applyProtection="1">
      <alignment horizontal="center" vertical="center"/>
      <protection hidden="1"/>
    </xf>
    <xf numFmtId="177" fontId="23" fillId="8" borderId="26" xfId="3" applyNumberFormat="1" applyFont="1" applyFill="1" applyBorder="1" applyAlignment="1" applyProtection="1">
      <alignment horizontal="center" vertical="center"/>
      <protection hidden="1"/>
    </xf>
    <xf numFmtId="177" fontId="23" fillId="8" borderId="27" xfId="3" applyNumberFormat="1" applyFont="1" applyFill="1" applyBorder="1" applyAlignment="1" applyProtection="1">
      <alignment horizontal="center" vertical="center"/>
      <protection hidden="1"/>
    </xf>
    <xf numFmtId="184" fontId="26" fillId="0" borderId="1" xfId="0" applyNumberFormat="1" applyFont="1" applyBorder="1" applyAlignment="1" applyProtection="1">
      <alignment horizontal="center"/>
      <protection locked="0"/>
    </xf>
    <xf numFmtId="1" fontId="26" fillId="4" borderId="17" xfId="0" applyNumberFormat="1" applyFont="1" applyFill="1" applyBorder="1" applyAlignment="1" applyProtection="1">
      <alignment horizontal="center"/>
      <protection hidden="1"/>
    </xf>
    <xf numFmtId="184" fontId="26" fillId="4" borderId="17" xfId="0" applyNumberFormat="1" applyFont="1" applyFill="1" applyBorder="1" applyAlignment="1" applyProtection="1">
      <alignment horizontal="center" wrapText="1"/>
      <protection hidden="1"/>
    </xf>
    <xf numFmtId="14" fontId="26" fillId="0" borderId="1" xfId="0" applyNumberFormat="1" applyFont="1" applyBorder="1" applyAlignment="1" applyProtection="1">
      <alignment horizontal="center"/>
      <protection locked="0"/>
    </xf>
    <xf numFmtId="2" fontId="26" fillId="2" borderId="28" xfId="0" applyNumberFormat="1" applyFont="1" applyFill="1" applyBorder="1" applyAlignment="1" applyProtection="1">
      <alignment horizontal="center"/>
      <protection hidden="1"/>
    </xf>
    <xf numFmtId="2" fontId="26" fillId="2" borderId="27" xfId="0" applyNumberFormat="1" applyFont="1" applyFill="1" applyBorder="1" applyAlignment="1" applyProtection="1">
      <alignment horizontal="center"/>
      <protection hidden="1"/>
    </xf>
    <xf numFmtId="183" fontId="26" fillId="2" borderId="17" xfId="0" applyNumberFormat="1" applyFont="1" applyFill="1" applyBorder="1" applyAlignment="1" applyProtection="1">
      <alignment horizontal="center" wrapText="1"/>
      <protection hidden="1"/>
    </xf>
    <xf numFmtId="0" fontId="23" fillId="4" borderId="17" xfId="0" applyFont="1" applyFill="1" applyBorder="1" applyAlignment="1" applyProtection="1">
      <alignment wrapText="1"/>
      <protection hidden="1"/>
    </xf>
    <xf numFmtId="0" fontId="23" fillId="4" borderId="24" xfId="0" applyFont="1" applyFill="1" applyBorder="1" applyAlignment="1" applyProtection="1">
      <alignment wrapText="1"/>
      <protection hidden="1"/>
    </xf>
    <xf numFmtId="0" fontId="26" fillId="4" borderId="17" xfId="0" applyFont="1" applyFill="1" applyBorder="1" applyAlignment="1" applyProtection="1">
      <alignment wrapText="1"/>
      <protection hidden="1"/>
    </xf>
    <xf numFmtId="0" fontId="26" fillId="4" borderId="24" xfId="0" applyFont="1" applyFill="1" applyBorder="1" applyAlignment="1" applyProtection="1">
      <alignment wrapText="1"/>
      <protection hidden="1"/>
    </xf>
    <xf numFmtId="0" fontId="23" fillId="2" borderId="24" xfId="0" applyFont="1" applyFill="1" applyBorder="1" applyAlignment="1" applyProtection="1">
      <alignment horizontal="left" wrapText="1"/>
      <protection hidden="1"/>
    </xf>
    <xf numFmtId="0" fontId="23" fillId="2" borderId="25" xfId="0" applyFont="1" applyFill="1" applyBorder="1" applyAlignment="1" applyProtection="1">
      <alignment horizontal="left" wrapText="1"/>
      <protection hidden="1"/>
    </xf>
    <xf numFmtId="0" fontId="26" fillId="4" borderId="18" xfId="0" applyFont="1" applyFill="1" applyBorder="1" applyAlignment="1" applyProtection="1">
      <alignment horizontal="left" wrapText="1"/>
      <protection hidden="1"/>
    </xf>
    <xf numFmtId="0" fontId="26" fillId="4" borderId="20" xfId="0" applyFont="1" applyFill="1" applyBorder="1" applyAlignment="1" applyProtection="1">
      <alignment horizontal="left" wrapText="1"/>
      <protection hidden="1"/>
    </xf>
    <xf numFmtId="0" fontId="26" fillId="4" borderId="21" xfId="0" applyFont="1" applyFill="1" applyBorder="1" applyAlignment="1" applyProtection="1">
      <alignment horizontal="left" wrapText="1"/>
      <protection hidden="1"/>
    </xf>
    <xf numFmtId="0" fontId="26" fillId="4" borderId="23" xfId="0" applyFont="1" applyFill="1" applyBorder="1" applyAlignment="1" applyProtection="1">
      <alignment horizontal="left" wrapText="1"/>
      <protection hidden="1"/>
    </xf>
    <xf numFmtId="0" fontId="23" fillId="4" borderId="17" xfId="0" applyFont="1" applyFill="1" applyBorder="1" applyAlignment="1" applyProtection="1">
      <alignment horizontal="left" wrapText="1"/>
      <protection hidden="1"/>
    </xf>
    <xf numFmtId="0" fontId="23" fillId="2" borderId="17" xfId="0" applyFont="1" applyFill="1" applyBorder="1" applyAlignment="1" applyProtection="1">
      <alignment horizontal="center" wrapText="1"/>
      <protection hidden="1"/>
    </xf>
    <xf numFmtId="0" fontId="23" fillId="4" borderId="18" xfId="0" applyFont="1" applyFill="1" applyBorder="1" applyAlignment="1" applyProtection="1">
      <alignment horizontal="center"/>
      <protection hidden="1"/>
    </xf>
    <xf numFmtId="0" fontId="23" fillId="4" borderId="20" xfId="0" applyFont="1" applyFill="1" applyBorder="1" applyAlignment="1" applyProtection="1">
      <alignment horizontal="center"/>
      <protection hidden="1"/>
    </xf>
    <xf numFmtId="184" fontId="26" fillId="2" borderId="17" xfId="0" applyNumberFormat="1" applyFont="1" applyFill="1" applyBorder="1" applyAlignment="1" applyProtection="1">
      <alignment horizontal="center" wrapText="1"/>
      <protection hidden="1"/>
    </xf>
    <xf numFmtId="184" fontId="23" fillId="6" borderId="26" xfId="0" applyNumberFormat="1" applyFont="1" applyFill="1" applyBorder="1" applyAlignment="1" applyProtection="1">
      <alignment horizontal="center" vertical="center"/>
      <protection hidden="1"/>
    </xf>
    <xf numFmtId="184" fontId="23" fillId="6" borderId="27" xfId="0" applyNumberFormat="1" applyFont="1" applyFill="1" applyBorder="1" applyAlignment="1" applyProtection="1">
      <alignment horizontal="center" vertical="center"/>
      <protection hidden="1"/>
    </xf>
    <xf numFmtId="0" fontId="23" fillId="6" borderId="31" xfId="0" applyFont="1" applyFill="1" applyBorder="1" applyAlignment="1" applyProtection="1">
      <alignment horizontal="left" vertical="center"/>
      <protection hidden="1"/>
    </xf>
    <xf numFmtId="0" fontId="23" fillId="6" borderId="32" xfId="0" applyFont="1" applyFill="1" applyBorder="1" applyAlignment="1" applyProtection="1">
      <alignment horizontal="left" vertical="center"/>
      <protection hidden="1"/>
    </xf>
    <xf numFmtId="0" fontId="26" fillId="0" borderId="1" xfId="0" applyFont="1" applyBorder="1" applyAlignment="1" applyProtection="1">
      <alignment horizontal="center" vertical="center"/>
      <protection locked="0"/>
    </xf>
    <xf numFmtId="181" fontId="23" fillId="7" borderId="26" xfId="0" applyNumberFormat="1" applyFont="1" applyFill="1" applyBorder="1" applyAlignment="1" applyProtection="1">
      <alignment horizontal="center" vertical="center"/>
      <protection hidden="1"/>
    </xf>
    <xf numFmtId="181" fontId="23" fillId="7" borderId="27" xfId="0" applyNumberFormat="1" applyFont="1" applyFill="1" applyBorder="1" applyAlignment="1" applyProtection="1">
      <alignment horizontal="center" vertical="center"/>
      <protection hidden="1"/>
    </xf>
    <xf numFmtId="0" fontId="23" fillId="7" borderId="33" xfId="0" applyFont="1" applyFill="1" applyBorder="1" applyAlignment="1" applyProtection="1">
      <alignment horizontal="left" vertical="center"/>
      <protection hidden="1"/>
    </xf>
    <xf numFmtId="0" fontId="23" fillId="7" borderId="27" xfId="0" applyFont="1" applyFill="1" applyBorder="1" applyAlignment="1" applyProtection="1">
      <alignment horizontal="left" vertical="center"/>
      <protection hidden="1"/>
    </xf>
    <xf numFmtId="181" fontId="23" fillId="8" borderId="26" xfId="0" applyNumberFormat="1" applyFont="1" applyFill="1" applyBorder="1" applyAlignment="1" applyProtection="1">
      <alignment horizontal="center" vertical="center"/>
      <protection hidden="1"/>
    </xf>
    <xf numFmtId="181" fontId="23" fillId="8" borderId="27" xfId="0" applyNumberFormat="1" applyFont="1" applyFill="1" applyBorder="1" applyAlignment="1" applyProtection="1">
      <alignment horizontal="center" vertical="center"/>
      <protection hidden="1"/>
    </xf>
    <xf numFmtId="0" fontId="23" fillId="8" borderId="34" xfId="0" applyFont="1" applyFill="1" applyBorder="1" applyAlignment="1" applyProtection="1">
      <alignment horizontal="left" vertical="center"/>
      <protection hidden="1"/>
    </xf>
    <xf numFmtId="0" fontId="23" fillId="8" borderId="35" xfId="0" applyFont="1" applyFill="1" applyBorder="1" applyAlignment="1" applyProtection="1">
      <alignment horizontal="left" vertical="center"/>
      <protection hidden="1"/>
    </xf>
    <xf numFmtId="0" fontId="47" fillId="4" borderId="24" xfId="0" applyFont="1" applyFill="1" applyBorder="1" applyAlignment="1" applyProtection="1">
      <alignment horizontal="center" wrapText="1"/>
      <protection hidden="1"/>
    </xf>
    <xf numFmtId="0" fontId="47" fillId="4" borderId="18" xfId="0" applyFont="1" applyFill="1" applyBorder="1" applyAlignment="1" applyProtection="1">
      <alignment horizontal="center" wrapText="1"/>
      <protection hidden="1"/>
    </xf>
    <xf numFmtId="0" fontId="47" fillId="4" borderId="19" xfId="0" applyFont="1" applyFill="1" applyBorder="1" applyAlignment="1" applyProtection="1">
      <alignment horizontal="center" wrapText="1"/>
      <protection hidden="1"/>
    </xf>
    <xf numFmtId="0" fontId="47" fillId="4" borderId="20" xfId="0" applyFont="1" applyFill="1" applyBorder="1" applyAlignment="1" applyProtection="1">
      <alignment horizontal="center" wrapText="1"/>
      <protection hidden="1"/>
    </xf>
    <xf numFmtId="181" fontId="49" fillId="0" borderId="1" xfId="0" applyNumberFormat="1" applyFont="1" applyBorder="1" applyAlignment="1" applyProtection="1">
      <alignment horizontal="center"/>
      <protection locked="0"/>
    </xf>
    <xf numFmtId="44" fontId="49" fillId="0" borderId="1" xfId="3" applyFont="1" applyFill="1" applyBorder="1" applyAlignment="1" applyProtection="1">
      <alignment horizontal="center"/>
      <protection locked="0"/>
    </xf>
    <xf numFmtId="0" fontId="23" fillId="8" borderId="26" xfId="0" applyFont="1" applyFill="1" applyBorder="1" applyAlignment="1" applyProtection="1">
      <alignment horizontal="left" vertical="center"/>
      <protection hidden="1"/>
    </xf>
    <xf numFmtId="0" fontId="23" fillId="8" borderId="27" xfId="0" applyFont="1" applyFill="1" applyBorder="1" applyAlignment="1" applyProtection="1">
      <alignment horizontal="left" vertical="center"/>
      <protection hidden="1"/>
    </xf>
    <xf numFmtId="0" fontId="47" fillId="4" borderId="24" xfId="0" applyFont="1" applyFill="1" applyBorder="1" applyAlignment="1" applyProtection="1">
      <alignment horizontal="center" vertical="center" wrapText="1"/>
      <protection hidden="1"/>
    </xf>
    <xf numFmtId="0" fontId="47" fillId="4" borderId="18" xfId="0" applyFont="1" applyFill="1" applyBorder="1" applyAlignment="1" applyProtection="1">
      <alignment horizontal="center" vertical="center" wrapText="1"/>
      <protection hidden="1"/>
    </xf>
    <xf numFmtId="0" fontId="47" fillId="4" borderId="19" xfId="0" applyFont="1" applyFill="1" applyBorder="1" applyAlignment="1" applyProtection="1">
      <alignment horizontal="center" vertical="center" wrapText="1"/>
      <protection hidden="1"/>
    </xf>
    <xf numFmtId="0" fontId="47" fillId="4" borderId="20" xfId="0" applyFont="1" applyFill="1" applyBorder="1" applyAlignment="1" applyProtection="1">
      <alignment horizontal="center" vertical="center" wrapText="1"/>
      <protection hidden="1"/>
    </xf>
    <xf numFmtId="178" fontId="49" fillId="0" borderId="1" xfId="0" applyNumberFormat="1" applyFont="1" applyBorder="1" applyAlignment="1" applyProtection="1">
      <alignment horizontal="center"/>
      <protection locked="0"/>
    </xf>
    <xf numFmtId="0" fontId="23" fillId="10" borderId="26" xfId="0" applyFont="1" applyFill="1" applyBorder="1" applyAlignment="1" applyProtection="1">
      <alignment horizontal="left" vertical="center" wrapText="1"/>
      <protection hidden="1"/>
    </xf>
    <xf numFmtId="0" fontId="23" fillId="10" borderId="27" xfId="0" applyFont="1" applyFill="1" applyBorder="1" applyAlignment="1" applyProtection="1">
      <alignment horizontal="left" vertical="center" wrapText="1"/>
      <protection hidden="1"/>
    </xf>
    <xf numFmtId="0" fontId="26" fillId="4" borderId="0" xfId="0" applyFont="1" applyFill="1" applyAlignment="1" applyProtection="1">
      <alignment horizontal="left" vertical="top" wrapText="1"/>
      <protection hidden="1"/>
    </xf>
    <xf numFmtId="177" fontId="23" fillId="8" borderId="17" xfId="3" applyNumberFormat="1" applyFont="1" applyFill="1" applyBorder="1" applyAlignment="1" applyProtection="1">
      <alignment horizontal="center" vertical="center"/>
      <protection hidden="1"/>
    </xf>
    <xf numFmtId="177" fontId="23" fillId="7" borderId="17" xfId="3" applyNumberFormat="1" applyFont="1" applyFill="1" applyBorder="1" applyAlignment="1" applyProtection="1">
      <alignment horizontal="center" vertical="center"/>
      <protection hidden="1"/>
    </xf>
    <xf numFmtId="0" fontId="23" fillId="6" borderId="18" xfId="0" applyFont="1" applyFill="1" applyBorder="1" applyAlignment="1" applyProtection="1">
      <alignment horizontal="left" vertical="center" wrapText="1"/>
      <protection hidden="1"/>
    </xf>
    <xf numFmtId="0" fontId="23" fillId="6" borderId="29" xfId="0" applyFont="1" applyFill="1" applyBorder="1" applyAlignment="1" applyProtection="1">
      <alignment horizontal="left" vertical="center" wrapText="1"/>
      <protection hidden="1"/>
    </xf>
    <xf numFmtId="177" fontId="23" fillId="10" borderId="17" xfId="3" applyNumberFormat="1" applyFont="1" applyFill="1" applyBorder="1" applyAlignment="1" applyProtection="1">
      <alignment horizontal="center" vertical="center"/>
      <protection hidden="1"/>
    </xf>
    <xf numFmtId="0" fontId="26" fillId="4" borderId="0" xfId="0" applyFont="1" applyFill="1" applyAlignment="1" applyProtection="1">
      <alignment horizontal="center"/>
      <protection hidden="1"/>
    </xf>
    <xf numFmtId="0" fontId="56" fillId="4" borderId="17" xfId="0" applyFont="1" applyFill="1" applyBorder="1" applyAlignment="1" applyProtection="1">
      <alignment horizontal="center" wrapText="1"/>
      <protection hidden="1"/>
    </xf>
    <xf numFmtId="0" fontId="56" fillId="4" borderId="17" xfId="0" applyFont="1" applyFill="1" applyBorder="1" applyAlignment="1" applyProtection="1">
      <alignment horizontal="center" vertical="center" wrapText="1"/>
      <protection hidden="1"/>
    </xf>
    <xf numFmtId="0" fontId="56" fillId="4" borderId="24" xfId="0" applyFont="1" applyFill="1" applyBorder="1" applyAlignment="1" applyProtection="1">
      <alignment horizontal="center" vertical="center" wrapText="1"/>
      <protection hidden="1"/>
    </xf>
    <xf numFmtId="0" fontId="56" fillId="4" borderId="18" xfId="0" applyFont="1" applyFill="1" applyBorder="1" applyAlignment="1" applyProtection="1">
      <alignment horizontal="center" vertical="center" wrapText="1"/>
      <protection hidden="1"/>
    </xf>
    <xf numFmtId="0" fontId="56" fillId="4" borderId="19" xfId="0" applyFont="1" applyFill="1" applyBorder="1" applyAlignment="1" applyProtection="1">
      <alignment horizontal="center" vertical="center" wrapText="1"/>
      <protection hidden="1"/>
    </xf>
    <xf numFmtId="0" fontId="56" fillId="4" borderId="20" xfId="0" applyFont="1" applyFill="1" applyBorder="1" applyAlignment="1" applyProtection="1">
      <alignment horizontal="center" vertical="center" wrapText="1"/>
      <protection hidden="1"/>
    </xf>
    <xf numFmtId="0" fontId="56" fillId="4" borderId="21" xfId="0" applyFont="1" applyFill="1" applyBorder="1" applyAlignment="1" applyProtection="1">
      <alignment horizontal="center" vertical="center" wrapText="1"/>
      <protection hidden="1"/>
    </xf>
    <xf numFmtId="0" fontId="56" fillId="4" borderId="22" xfId="0" applyFont="1" applyFill="1" applyBorder="1" applyAlignment="1" applyProtection="1">
      <alignment horizontal="center" vertical="center" wrapText="1"/>
      <protection hidden="1"/>
    </xf>
    <xf numFmtId="0" fontId="56" fillId="4" borderId="23" xfId="0" applyFont="1" applyFill="1" applyBorder="1" applyAlignment="1" applyProtection="1">
      <alignment horizontal="center" vertical="center" wrapText="1"/>
      <protection hidden="1"/>
    </xf>
    <xf numFmtId="0" fontId="23" fillId="6" borderId="17" xfId="0" applyFont="1" applyFill="1" applyBorder="1" applyAlignment="1" applyProtection="1">
      <alignment horizontal="center" vertical="center" wrapText="1"/>
      <protection hidden="1"/>
    </xf>
    <xf numFmtId="0" fontId="23" fillId="6" borderId="26" xfId="0" applyFont="1" applyFill="1" applyBorder="1" applyAlignment="1" applyProtection="1">
      <alignment horizontal="center" vertical="center" wrapText="1"/>
      <protection hidden="1"/>
    </xf>
    <xf numFmtId="0" fontId="23" fillId="4" borderId="26" xfId="0" applyFont="1" applyFill="1" applyBorder="1" applyAlignment="1" applyProtection="1">
      <alignment horizontal="center" vertical="center" wrapText="1"/>
      <protection hidden="1"/>
    </xf>
    <xf numFmtId="0" fontId="56" fillId="4" borderId="0" xfId="0" applyFont="1" applyFill="1" applyAlignment="1" applyProtection="1">
      <alignment horizontal="left" vertical="center" wrapText="1"/>
      <protection hidden="1"/>
    </xf>
    <xf numFmtId="0" fontId="56" fillId="4" borderId="49" xfId="0" applyFont="1" applyFill="1" applyBorder="1" applyAlignment="1" applyProtection="1">
      <alignment horizontal="left" vertical="center" wrapText="1"/>
      <protection hidden="1"/>
    </xf>
    <xf numFmtId="0" fontId="5" fillId="2" borderId="0" xfId="0" applyFont="1" applyFill="1" applyAlignment="1" applyProtection="1">
      <alignment horizontal="right" vertical="top"/>
      <protection hidden="1"/>
    </xf>
    <xf numFmtId="43" fontId="26" fillId="3" borderId="7" xfId="1" applyFont="1" applyFill="1" applyBorder="1" applyAlignment="1" applyProtection="1">
      <alignment horizontal="center"/>
      <protection locked="0"/>
    </xf>
    <xf numFmtId="43" fontId="26" fillId="3" borderId="9" xfId="1" applyFont="1" applyFill="1" applyBorder="1" applyAlignment="1" applyProtection="1">
      <alignment horizontal="center"/>
      <protection locked="0"/>
    </xf>
    <xf numFmtId="0" fontId="26" fillId="2" borderId="0" xfId="0" applyFont="1" applyFill="1" applyAlignment="1" applyProtection="1">
      <alignment vertical="top" wrapText="1"/>
      <protection hidden="1"/>
    </xf>
    <xf numFmtId="0" fontId="0" fillId="0" borderId="0" xfId="0" applyFont="1" applyAlignment="1" applyProtection="1">
      <alignment vertical="top" wrapText="1"/>
      <protection hidden="1"/>
    </xf>
    <xf numFmtId="0" fontId="46" fillId="4" borderId="0" xfId="0" applyFont="1" applyFill="1" applyAlignment="1" applyProtection="1">
      <alignment horizontal="left" vertical="center" wrapText="1"/>
      <protection hidden="1"/>
    </xf>
    <xf numFmtId="0" fontId="26" fillId="0" borderId="7" xfId="0" applyFont="1" applyBorder="1" applyAlignment="1" applyProtection="1">
      <alignment horizontal="left" vertical="center"/>
      <protection locked="0"/>
    </xf>
    <xf numFmtId="0" fontId="26" fillId="0" borderId="8"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43" fontId="26" fillId="3" borderId="7" xfId="1" applyFont="1" applyFill="1" applyBorder="1" applyAlignment="1" applyProtection="1">
      <alignment horizontal="right"/>
      <protection locked="0"/>
    </xf>
    <xf numFmtId="43" fontId="26" fillId="3" borderId="9" xfId="1" applyFont="1" applyFill="1" applyBorder="1" applyAlignment="1" applyProtection="1">
      <alignment horizontal="right"/>
      <protection locked="0"/>
    </xf>
    <xf numFmtId="49" fontId="43" fillId="3" borderId="0" xfId="0" applyNumberFormat="1" applyFont="1" applyFill="1" applyProtection="1">
      <protection hidden="1"/>
    </xf>
  </cellXfs>
  <cellStyles count="10">
    <cellStyle name="Berechnung" xfId="4" builtinId="22" customBuiltin="1"/>
    <cellStyle name="Dezimal [0]" xfId="8" builtinId="6" customBuiltin="1"/>
    <cellStyle name="Eingabe 2" xfId="6" xr:uid="{E2009BD2-9DC6-4996-9EF2-2A2BC9E7F43E}"/>
    <cellStyle name="Eingabe 3" xfId="7" xr:uid="{0BC95314-85BD-4A0A-B9DD-B87E969EBC04}"/>
    <cellStyle name="Erklärender Text" xfId="5" builtinId="53" customBuiltin="1"/>
    <cellStyle name="Komma" xfId="1" builtinId="3" customBuiltin="1"/>
    <cellStyle name="Prozent" xfId="2" builtinId="5" customBuiltin="1"/>
    <cellStyle name="Standard" xfId="0" builtinId="0" customBuiltin="1"/>
    <cellStyle name="Währung" xfId="3" builtinId="4" customBuiltin="1"/>
    <cellStyle name="Währung [0]" xfId="9" builtinId="7" customBuiltin="1"/>
  </cellStyles>
  <dxfs count="103">
    <dxf>
      <font>
        <b val="0"/>
        <i val="0"/>
        <strike val="0"/>
        <condense val="0"/>
        <extend val="0"/>
        <outline val="0"/>
        <shadow val="0"/>
        <u val="none"/>
        <vertAlign val="baseline"/>
        <sz val="10.5"/>
        <color rgb="FF000066"/>
        <name val="Trebuchet MS"/>
        <family val="2"/>
        <scheme val="minor"/>
      </font>
      <numFmt numFmtId="179" formatCode="_-&quot;€&quot;\ * #,##0.0000_-;\-&quot;€&quot;\ * #,##0.0000_-;_-&quot;€&quot;\ * &quot;-&quot;??_-;_-@_-"/>
      <fill>
        <patternFill patternType="solid">
          <fgColor indexed="64"/>
          <bgColor rgb="FFD9E1F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rebuchet MS"/>
        <family val="2"/>
        <scheme val="minor"/>
      </font>
      <border diagonalUp="0" diagonalDown="0">
        <left style="thin">
          <color theme="1"/>
        </left>
        <right style="thin">
          <color theme="1"/>
        </right>
        <top style="thin">
          <color theme="1"/>
        </top>
        <bottom/>
        <vertical/>
        <horizontal/>
      </border>
    </dxf>
    <dxf>
      <font>
        <color rgb="FFD9E1F2"/>
      </font>
      <fill>
        <patternFill>
          <bgColor theme="4" tint="0.79998168889431442"/>
        </patternFill>
      </fill>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73" formatCode="0.0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color rgb="FFD9E1F2"/>
      </font>
      <fill>
        <patternFill>
          <bgColor theme="4" tint="0.79998168889431442"/>
        </patternFill>
      </fill>
      <border>
        <left/>
        <right/>
        <bottom/>
      </border>
    </dxf>
    <dxf>
      <font>
        <color rgb="FFD9E1F2"/>
      </font>
    </dxf>
    <dxf>
      <font>
        <color rgb="FFD9E1F2"/>
      </font>
      <fill>
        <patternFill>
          <bgColor theme="4" tint="0.79998168889431442"/>
        </patternFill>
      </fill>
    </dxf>
    <dxf>
      <font>
        <color rgb="FFD9E1F2"/>
      </font>
      <fill>
        <patternFill>
          <bgColor theme="4" tint="0.79998168889431442"/>
        </patternFill>
      </fill>
      <border>
        <left/>
        <right/>
        <top/>
        <vertical/>
        <horizontal/>
      </border>
    </dxf>
    <dxf>
      <font>
        <b/>
        <i val="0"/>
        <color rgb="FFC00000"/>
      </font>
    </dxf>
    <dxf>
      <font>
        <color rgb="FFD9E1F2"/>
      </font>
      <fill>
        <patternFill>
          <bgColor rgb="FFD9E1F2"/>
        </patternFill>
      </fill>
      <border>
        <left/>
        <right/>
        <top/>
        <bottom/>
      </border>
    </dxf>
    <dxf>
      <font>
        <b/>
        <i val="0"/>
        <color rgb="FFC00000"/>
      </font>
    </dxf>
    <dxf>
      <font>
        <b/>
        <i val="0"/>
        <color rgb="FFC00000"/>
      </font>
    </dxf>
    <dxf>
      <font>
        <b/>
        <i val="0"/>
        <color rgb="FFC00000"/>
      </font>
    </dxf>
    <dxf>
      <font>
        <b/>
        <i val="0"/>
        <color rgb="FFC00000"/>
      </font>
    </dxf>
    <dxf>
      <font>
        <color rgb="FFD9E1F2"/>
      </font>
      <fill>
        <patternFill>
          <bgColor rgb="FFD9E1F2"/>
        </patternFill>
      </fill>
      <border>
        <left/>
        <right/>
        <top/>
        <bottom/>
      </border>
    </dxf>
    <dxf>
      <font>
        <color rgb="FFD9E1F2"/>
      </font>
    </dxf>
    <dxf>
      <font>
        <color rgb="FFD9E1F2"/>
      </font>
    </dxf>
    <dxf>
      <fill>
        <patternFill>
          <bgColor theme="4" tint="0.79998168889431442"/>
        </patternFill>
      </fill>
      <border>
        <left style="thin">
          <color auto="1"/>
        </left>
        <right style="thin">
          <color auto="1"/>
        </right>
        <bottom style="thin">
          <color auto="1"/>
        </bottom>
        <vertical/>
        <horizontal/>
      </border>
    </dxf>
    <dxf>
      <fill>
        <patternFill>
          <bgColor theme="4" tint="0.79998168889431442"/>
        </patternFill>
      </fill>
      <border>
        <left style="thin">
          <color auto="1"/>
        </left>
        <right style="thin">
          <color auto="1"/>
        </right>
        <top style="thin">
          <color auto="1"/>
        </top>
        <vertical/>
        <horizontal/>
      </border>
    </dxf>
    <dxf>
      <border>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color rgb="FFD9E1F2"/>
      </font>
      <fill>
        <patternFill>
          <bgColor rgb="FFD9E1F2"/>
        </patternFill>
      </fill>
    </dxf>
    <dxf>
      <font>
        <color rgb="FFD9E1F2"/>
      </font>
      <fill>
        <patternFill>
          <bgColor rgb="FFD9E1F2"/>
        </patternFill>
      </fill>
    </dxf>
    <dxf>
      <font>
        <color rgb="FFD9E1F2"/>
      </font>
      <fill>
        <patternFill>
          <bgColor rgb="FFD9E1F2"/>
        </patternFill>
      </fill>
    </dxf>
    <dxf>
      <font>
        <color rgb="FFD9E1F2"/>
      </font>
      <fill>
        <patternFill>
          <bgColor rgb="FFD9E1F2"/>
        </patternFill>
      </fill>
    </dxf>
    <dxf>
      <font>
        <color rgb="FFD9E1F2"/>
      </font>
      <fill>
        <patternFill>
          <bgColor rgb="FFD9E1F2"/>
        </patternFill>
      </fill>
    </dxf>
    <dxf>
      <fill>
        <patternFill>
          <bgColor rgb="FFFF0000"/>
        </patternFill>
      </fill>
    </dxf>
    <dxf>
      <fill>
        <patternFill>
          <bgColor rgb="FFFF0000"/>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ont>
        <color rgb="FFC00000"/>
      </font>
    </dxf>
    <dxf>
      <font>
        <color rgb="FFC00000"/>
      </font>
    </dxf>
    <dxf>
      <font>
        <color rgb="FFC00000"/>
      </font>
    </dxf>
    <dxf>
      <font>
        <color rgb="FFC00000"/>
      </font>
    </dxf>
    <dxf>
      <font>
        <color rgb="FFC0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C00000"/>
      </font>
    </dxf>
    <dxf>
      <fill>
        <patternFill>
          <bgColor theme="0"/>
        </patternFill>
      </fill>
      <border>
        <left style="thin">
          <color rgb="FF00B0F0"/>
        </left>
        <right style="thin">
          <color rgb="FF00B0F0"/>
        </right>
        <top style="thin">
          <color rgb="FF00B0F0"/>
        </top>
        <bottom style="thin">
          <color rgb="FF00B0F0"/>
        </bottom>
        <vertical/>
        <horizontal/>
      </border>
    </dxf>
    <dxf>
      <fill>
        <patternFill>
          <bgColor theme="0"/>
        </patternFill>
      </fill>
      <border>
        <left style="thin">
          <color rgb="FF00B0F0"/>
        </left>
        <right style="thin">
          <color rgb="FF00B0F0"/>
        </right>
        <top style="thin">
          <color rgb="FF00B0F0"/>
        </top>
        <bottom style="thin">
          <color rgb="FF00B0F0"/>
        </bottom>
        <vertical/>
        <horizontal/>
      </border>
    </dxf>
    <dxf>
      <fill>
        <patternFill patternType="none">
          <fgColor indexed="64"/>
          <bgColor auto="1"/>
        </patternFill>
      </fill>
      <border>
        <left style="thin">
          <color rgb="FF00B0F0"/>
        </left>
        <right style="thin">
          <color rgb="FF00B0F0"/>
        </right>
        <top style="thin">
          <color rgb="FF00B0F0"/>
        </top>
        <bottom style="thin">
          <color rgb="FF00B0F0"/>
        </bottom>
        <vertical/>
        <horizontal/>
      </border>
    </dxf>
    <dxf>
      <font>
        <color theme="4" tint="0.79998168889431442"/>
      </font>
      <fill>
        <patternFill>
          <bgColor theme="4" tint="0.79998168889431442"/>
        </patternFill>
      </fill>
    </dxf>
    <dxf>
      <font>
        <color rgb="FFC00000"/>
      </font>
    </dxf>
    <dxf>
      <font>
        <color rgb="FFC00000"/>
      </font>
    </dxf>
    <dxf>
      <font>
        <color rgb="FFC00000"/>
      </font>
    </dxf>
    <dxf>
      <font>
        <b/>
        <i val="0"/>
        <color rgb="FFC00000"/>
      </font>
    </dxf>
    <dxf>
      <font>
        <b/>
        <i val="0"/>
        <color rgb="FF00B050"/>
      </font>
    </dxf>
    <dxf>
      <font>
        <b/>
        <i val="0"/>
        <color rgb="FF00B050"/>
      </font>
    </dxf>
    <dxf>
      <font>
        <b/>
        <i val="0"/>
        <color rgb="FFC00000"/>
      </font>
    </dxf>
    <dxf>
      <font>
        <b/>
        <i val="0"/>
        <color rgb="FF00B050"/>
      </font>
    </dxf>
    <dxf>
      <font>
        <b/>
        <i val="0"/>
        <color rgb="FF00B050"/>
      </font>
    </dxf>
  </dxfs>
  <tableStyles count="0" defaultTableStyle="TableStyleMedium2" defaultPivotStyle="PivotStyleLight16"/>
  <colors>
    <mruColors>
      <color rgb="FFD9E1F2"/>
      <color rgb="FF000066"/>
      <color rgb="FF00B0F0"/>
      <color rgb="FFE1F4FF"/>
      <color rgb="FF7692D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0</xdr:col>
      <xdr:colOff>163830</xdr:colOff>
      <xdr:row>0</xdr:row>
      <xdr:rowOff>163829</xdr:rowOff>
    </xdr:from>
    <xdr:to>
      <xdr:col>9</xdr:col>
      <xdr:colOff>609601</xdr:colOff>
      <xdr:row>61</xdr:row>
      <xdr:rowOff>57150</xdr:rowOff>
    </xdr:to>
    <xdr:sp macro="" textlink="">
      <xdr:nvSpPr>
        <xdr:cNvPr id="2" name="Textfeld 1">
          <a:extLst>
            <a:ext uri="{FF2B5EF4-FFF2-40B4-BE49-F238E27FC236}">
              <a16:creationId xmlns:a16="http://schemas.microsoft.com/office/drawing/2014/main" id="{821D018B-91BD-4EA4-B42C-45D8BA11CE9C}"/>
            </a:ext>
          </a:extLst>
        </xdr:cNvPr>
        <xdr:cNvSpPr txBox="1"/>
      </xdr:nvSpPr>
      <xdr:spPr>
        <a:xfrm>
          <a:off x="163830" y="163829"/>
          <a:ext cx="7046596" cy="109327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216000" rtlCol="0" anchor="t"/>
        <a:lstStyle/>
        <a:p>
          <a:pPr>
            <a:spcBef>
              <a:spcPts val="600"/>
            </a:spcBef>
          </a:pPr>
          <a:endParaRPr lang="de-AT" sz="1100" b="1">
            <a:solidFill>
              <a:srgbClr val="00327A"/>
            </a:solidFill>
            <a:effectLst/>
            <a:latin typeface="Calibri" panose="020F0502020204030204" pitchFamily="34" charset="0"/>
            <a:ea typeface="+mn-ea"/>
            <a:cs typeface="Calibri" panose="020F0502020204030204" pitchFamily="34" charset="0"/>
          </a:endParaRPr>
        </a:p>
        <a:p>
          <a:pPr>
            <a:spcBef>
              <a:spcPts val="600"/>
            </a:spcBef>
          </a:pPr>
          <a:endParaRPr lang="de-AT" sz="1100" b="1">
            <a:solidFill>
              <a:srgbClr val="00327A"/>
            </a:solidFill>
            <a:effectLst/>
            <a:latin typeface="Calibri" panose="020F0502020204030204" pitchFamily="34" charset="0"/>
            <a:ea typeface="+mn-ea"/>
            <a:cs typeface="Calibri" panose="020F0502020204030204" pitchFamily="34" charset="0"/>
          </a:endParaRPr>
        </a:p>
        <a:p>
          <a:pPr>
            <a:spcBef>
              <a:spcPts val="600"/>
            </a:spcBef>
          </a:pPr>
          <a:endParaRPr lang="de-AT" sz="1100" b="1">
            <a:solidFill>
              <a:srgbClr val="00327A"/>
            </a:solidFill>
            <a:effectLst/>
            <a:latin typeface="Calibri" panose="020F0502020204030204" pitchFamily="34" charset="0"/>
            <a:ea typeface="+mn-ea"/>
            <a:cs typeface="Calibri" panose="020F0502020204030204" pitchFamily="34" charset="0"/>
          </a:endParaRPr>
        </a:p>
        <a:p>
          <a:pPr>
            <a:spcBef>
              <a:spcPts val="600"/>
            </a:spcBef>
          </a:pPr>
          <a:br>
            <a:rPr lang="de-AT" sz="1100">
              <a:solidFill>
                <a:schemeClr val="dk1"/>
              </a:solidFill>
              <a:effectLst/>
              <a:latin typeface="Calibri" panose="020F0502020204030204" pitchFamily="34" charset="0"/>
              <a:ea typeface="+mn-ea"/>
              <a:cs typeface="Calibri" panose="020F0502020204030204" pitchFamily="34" charset="0"/>
            </a:rPr>
          </a:br>
          <a:r>
            <a:rPr lang="de-AT" sz="1100" b="1">
              <a:solidFill>
                <a:srgbClr val="00327A"/>
              </a:solidFill>
              <a:effectLst/>
              <a:latin typeface="Calibri" panose="020F0502020204030204" pitchFamily="34" charset="0"/>
              <a:ea typeface="+mn-ea"/>
              <a:cs typeface="Calibri" panose="020F0502020204030204" pitchFamily="34" charset="0"/>
            </a:rPr>
            <a:t>Berechnungshilfe für Basisstufe 1 </a:t>
          </a:r>
        </a:p>
        <a:p>
          <a:r>
            <a:rPr lang="de-AT" sz="1100" i="0">
              <a:solidFill>
                <a:srgbClr val="00327A"/>
              </a:solidFill>
              <a:effectLst/>
              <a:latin typeface="Calibri" panose="020F0502020204030204" pitchFamily="34" charset="0"/>
              <a:ea typeface="+mn-ea"/>
              <a:cs typeface="Calibri" panose="020F0502020204030204" pitchFamily="34" charset="0"/>
            </a:rPr>
            <a:t>Es sind ausschließlich die blau umrandeten Eingabefelder in der Excel-Datei auszufüllen:</a:t>
          </a:r>
        </a:p>
        <a:p>
          <a:endParaRPr lang="de-AT" sz="1100" i="0">
            <a:solidFill>
              <a:srgbClr val="00327A"/>
            </a:solidFill>
            <a:effectLst/>
            <a:latin typeface="Calibri" panose="020F0502020204030204" pitchFamily="34" charset="0"/>
            <a:ea typeface="+mn-ea"/>
            <a:cs typeface="Calibri" panose="020F0502020204030204" pitchFamily="34" charset="0"/>
          </a:endParaRPr>
        </a:p>
        <a:p>
          <a:pPr marL="0" indent="0"/>
          <a:r>
            <a:rPr lang="de-AT" sz="1100" b="1">
              <a:solidFill>
                <a:srgbClr val="00327A"/>
              </a:solidFill>
              <a:effectLst/>
              <a:latin typeface="Calibri" panose="020F0502020204030204" pitchFamily="34" charset="0"/>
              <a:ea typeface="+mn-ea"/>
              <a:cs typeface="Calibri" panose="020F0502020204030204" pitchFamily="34" charset="0"/>
            </a:rPr>
            <a:t>Tabellenblatt 1: Strom,</a:t>
          </a:r>
          <a:r>
            <a:rPr lang="de-AT" sz="1100" b="1" baseline="0">
              <a:solidFill>
                <a:srgbClr val="00327A"/>
              </a:solidFill>
              <a:effectLst/>
              <a:latin typeface="Calibri" panose="020F0502020204030204" pitchFamily="34" charset="0"/>
              <a:ea typeface="+mn-ea"/>
              <a:cs typeface="Calibri" panose="020F0502020204030204" pitchFamily="34" charset="0"/>
            </a:rPr>
            <a:t> </a:t>
          </a:r>
          <a:r>
            <a:rPr lang="de-AT" sz="1100" b="1">
              <a:solidFill>
                <a:srgbClr val="00327A"/>
              </a:solidFill>
              <a:effectLst/>
              <a:latin typeface="Calibri" panose="020F0502020204030204" pitchFamily="34" charset="0"/>
              <a:ea typeface="+mn-ea"/>
              <a:cs typeface="Calibri" panose="020F0502020204030204" pitchFamily="34" charset="0"/>
            </a:rPr>
            <a:t>Erdgas und Wärme/Kälte 2021</a:t>
          </a:r>
        </a:p>
        <a:p>
          <a:r>
            <a:rPr lang="de-AT" sz="1100" i="0">
              <a:solidFill>
                <a:srgbClr val="00327A"/>
              </a:solidFill>
              <a:effectLst/>
              <a:latin typeface="Calibri" panose="020F0502020204030204" pitchFamily="34" charset="0"/>
              <a:ea typeface="+mn-ea"/>
              <a:cs typeface="Calibri" panose="020F0502020204030204" pitchFamily="34" charset="0"/>
            </a:rPr>
            <a:t>Um eventuelle Preissteigerungen von Strom,</a:t>
          </a:r>
          <a:r>
            <a:rPr lang="de-AT" sz="1100" i="0" baseline="0">
              <a:solidFill>
                <a:srgbClr val="00327A"/>
              </a:solidFill>
              <a:effectLst/>
              <a:latin typeface="Calibri" panose="020F0502020204030204" pitchFamily="34" charset="0"/>
              <a:ea typeface="+mn-ea"/>
              <a:cs typeface="Calibri" panose="020F0502020204030204" pitchFamily="34" charset="0"/>
            </a:rPr>
            <a:t> </a:t>
          </a:r>
          <a:r>
            <a:rPr lang="de-AT" sz="1100" i="0">
              <a:solidFill>
                <a:srgbClr val="00327A"/>
              </a:solidFill>
              <a:effectLst/>
              <a:latin typeface="Calibri" panose="020F0502020204030204" pitchFamily="34" charset="0"/>
              <a:ea typeface="+mn-ea"/>
              <a:cs typeface="Calibri" panose="020F0502020204030204" pitchFamily="34" charset="0"/>
            </a:rPr>
            <a:t>Erdgas und Wärme/Kälte ermitteln zu können, werden im ersten Schritt Angaben aus der</a:t>
          </a:r>
          <a:r>
            <a:rPr lang="de-AT" sz="1100" i="0" baseline="0">
              <a:solidFill>
                <a:srgbClr val="00327A"/>
              </a:solidFill>
              <a:effectLst/>
              <a:latin typeface="Calibri" panose="020F0502020204030204" pitchFamily="34" charset="0"/>
              <a:ea typeface="+mn-ea"/>
              <a:cs typeface="Calibri" panose="020F0502020204030204" pitchFamily="34" charset="0"/>
            </a:rPr>
            <a:t> </a:t>
          </a:r>
          <a:r>
            <a:rPr lang="de-AT" sz="1100" i="0">
              <a:solidFill>
                <a:srgbClr val="00327A"/>
              </a:solidFill>
              <a:effectLst/>
              <a:latin typeface="Calibri" panose="020F0502020204030204" pitchFamily="34" charset="0"/>
              <a:ea typeface="+mn-ea"/>
              <a:cs typeface="Calibri" panose="020F0502020204030204" pitchFamily="34" charset="0"/>
            </a:rPr>
            <a:t>Jahresabrechnung 2021 bzw. die Summe der monatlichen Abrechnungen vom</a:t>
          </a:r>
          <a:r>
            <a:rPr lang="de-AT" sz="1100" i="0" baseline="0">
              <a:solidFill>
                <a:srgbClr val="00327A"/>
              </a:solidFill>
              <a:effectLst/>
              <a:latin typeface="Calibri" panose="020F0502020204030204" pitchFamily="34" charset="0"/>
              <a:ea typeface="+mn-ea"/>
              <a:cs typeface="Calibri" panose="020F0502020204030204" pitchFamily="34" charset="0"/>
            </a:rPr>
            <a:t> Jahr 2021 </a:t>
          </a:r>
          <a:r>
            <a:rPr lang="de-AT" sz="1100" i="0">
              <a:solidFill>
                <a:srgbClr val="00327A"/>
              </a:solidFill>
              <a:effectLst/>
              <a:latin typeface="Calibri" panose="020F0502020204030204" pitchFamily="34" charset="0"/>
              <a:ea typeface="+mn-ea"/>
              <a:cs typeface="Calibri" panose="020F0502020204030204" pitchFamily="34" charset="0"/>
            </a:rPr>
            <a:t>zu Strom-,</a:t>
          </a:r>
          <a:r>
            <a:rPr lang="de-AT" sz="1100" i="0" baseline="0">
              <a:solidFill>
                <a:srgbClr val="00327A"/>
              </a:solidFill>
              <a:effectLst/>
              <a:latin typeface="Calibri" panose="020F0502020204030204" pitchFamily="34" charset="0"/>
              <a:ea typeface="+mn-ea"/>
              <a:cs typeface="Calibri" panose="020F0502020204030204" pitchFamily="34" charset="0"/>
            </a:rPr>
            <a:t> </a:t>
          </a:r>
          <a:r>
            <a:rPr lang="de-AT" sz="1100" i="0">
              <a:solidFill>
                <a:srgbClr val="00327A"/>
              </a:solidFill>
              <a:effectLst/>
              <a:latin typeface="Calibri" panose="020F0502020204030204" pitchFamily="34" charset="0"/>
              <a:ea typeface="+mn-ea"/>
              <a:cs typeface="Calibri" panose="020F0502020204030204" pitchFamily="34" charset="0"/>
            </a:rPr>
            <a:t>Erdgas- und Wärme/Kälte benötigt.</a:t>
          </a:r>
        </a:p>
        <a:p>
          <a:r>
            <a:rPr lang="de-AT" sz="1100" i="0">
              <a:solidFill>
                <a:srgbClr val="00327A"/>
              </a:solidFill>
              <a:effectLst/>
              <a:latin typeface="Calibri" panose="020F0502020204030204" pitchFamily="34" charset="0"/>
              <a:ea typeface="+mn-ea"/>
              <a:cs typeface="Calibri" panose="020F0502020204030204" pitchFamily="34" charset="0"/>
            </a:rPr>
            <a:t>Das Tabellenblatt 1 beinhaltet mehrere Abschnitte für Zählpunkte, wobei mittels Drop-down Menü die Energieart (Strom, Erdgas oder</a:t>
          </a:r>
          <a:r>
            <a:rPr lang="de-AT" sz="1100" i="0" baseline="0">
              <a:solidFill>
                <a:srgbClr val="00327A"/>
              </a:solidFill>
              <a:effectLst/>
              <a:latin typeface="Calibri" panose="020F0502020204030204" pitchFamily="34" charset="0"/>
              <a:ea typeface="+mn-ea"/>
              <a:cs typeface="Calibri" panose="020F0502020204030204" pitchFamily="34" charset="0"/>
            </a:rPr>
            <a:t> Wärme/Kälte</a:t>
          </a:r>
          <a:r>
            <a:rPr lang="de-AT" sz="1100" i="0">
              <a:solidFill>
                <a:srgbClr val="00327A"/>
              </a:solidFill>
              <a:effectLst/>
              <a:latin typeface="Calibri" panose="020F0502020204030204" pitchFamily="34" charset="0"/>
              <a:ea typeface="+mn-ea"/>
              <a:cs typeface="Calibri" panose="020F0502020204030204" pitchFamily="34" charset="0"/>
            </a:rPr>
            <a:t>) und das Vorhandensein eines Lastprofilzählers oder genormten intelligenten Messgeräts mit monatlicher Abrechnung (Ja/Nein) ausgewählt wird. Liegt nur eine Jahresabrechnung vor, ist hier "Nein" auszuwählen (eine monatliche</a:t>
          </a:r>
          <a:r>
            <a:rPr lang="de-AT" sz="1100" i="0" baseline="0">
              <a:solidFill>
                <a:srgbClr val="00327A"/>
              </a:solidFill>
              <a:effectLst/>
              <a:latin typeface="Calibri" panose="020F0502020204030204" pitchFamily="34" charset="0"/>
              <a:ea typeface="+mn-ea"/>
              <a:cs typeface="Calibri" panose="020F0502020204030204" pitchFamily="34" charset="0"/>
            </a:rPr>
            <a:t> Vorschreibung mit anschließender Jahresabrechnung ist als Jahresabrechnung zu behandeln</a:t>
          </a:r>
          <a:r>
            <a:rPr lang="de-AT" sz="1100" i="0">
              <a:solidFill>
                <a:srgbClr val="00327A"/>
              </a:solidFill>
              <a:effectLst/>
              <a:latin typeface="Calibri" panose="020F0502020204030204" pitchFamily="34" charset="0"/>
              <a:ea typeface="+mn-ea"/>
              <a:cs typeface="Calibri" panose="020F0502020204030204" pitchFamily="34" charset="0"/>
            </a:rPr>
            <a:t>). Bei monatlicher Abrechnung "Ja".</a:t>
          </a:r>
        </a:p>
        <a:p>
          <a:r>
            <a:rPr lang="de-AT" sz="1100" i="0">
              <a:solidFill>
                <a:srgbClr val="00327A"/>
              </a:solidFill>
              <a:effectLst/>
              <a:latin typeface="Calibri" panose="020F0502020204030204" pitchFamily="34" charset="0"/>
              <a:ea typeface="+mn-ea"/>
              <a:cs typeface="Calibri" panose="020F0502020204030204" pitchFamily="34" charset="0"/>
            </a:rPr>
            <a:t>Pro Zählpunkt ist der Nettorechnungsbetrag (Kosten für die verbrauchten Kilowattstunden Strom, Erdgas</a:t>
          </a:r>
          <a:r>
            <a:rPr lang="de-AT" sz="1100" i="0" baseline="0">
              <a:solidFill>
                <a:srgbClr val="00327A"/>
              </a:solidFill>
              <a:effectLst/>
              <a:latin typeface="Calibri" panose="020F0502020204030204" pitchFamily="34" charset="0"/>
              <a:ea typeface="+mn-ea"/>
              <a:cs typeface="Calibri" panose="020F0502020204030204" pitchFamily="34" charset="0"/>
            </a:rPr>
            <a:t> bzw. Wärme/Kälte</a:t>
          </a:r>
          <a:r>
            <a:rPr lang="de-AT" sz="1100" i="0">
              <a:solidFill>
                <a:srgbClr val="00327A"/>
              </a:solidFill>
              <a:effectLst/>
              <a:latin typeface="Calibri" panose="020F0502020204030204" pitchFamily="34" charset="0"/>
              <a:ea typeface="+mn-ea"/>
              <a:cs typeface="Calibri" panose="020F0502020204030204" pitchFamily="34" charset="0"/>
            </a:rPr>
            <a:t> exkl. Steuern, Abgaben Netzentgelte, etc. in EUR = Energie-Verbrauchspreis lt. Energierechnung) und der Stromverbrauch,</a:t>
          </a:r>
          <a:r>
            <a:rPr lang="de-AT" sz="1100" i="0" baseline="0">
              <a:solidFill>
                <a:srgbClr val="00327A"/>
              </a:solidFill>
              <a:effectLst/>
              <a:latin typeface="Calibri" panose="020F0502020204030204" pitchFamily="34" charset="0"/>
              <a:ea typeface="+mn-ea"/>
              <a:cs typeface="Calibri" panose="020F0502020204030204" pitchFamily="34" charset="0"/>
            </a:rPr>
            <a:t> </a:t>
          </a:r>
          <a:r>
            <a:rPr lang="de-AT" sz="1100" i="0">
              <a:solidFill>
                <a:srgbClr val="00327A"/>
              </a:solidFill>
              <a:effectLst/>
              <a:latin typeface="Calibri" panose="020F0502020204030204" pitchFamily="34" charset="0"/>
              <a:ea typeface="+mn-ea"/>
              <a:cs typeface="Calibri" panose="020F0502020204030204" pitchFamily="34" charset="0"/>
            </a:rPr>
            <a:t> Erdgasverbrauch oder Wärme-/Kälteverbrauch (laut letzter Jahresabrechnung oder anhand der monatlichen Rechnungen im Kalenderjahr 2021) einzugeben. </a:t>
          </a:r>
        </a:p>
        <a:p>
          <a:r>
            <a:rPr lang="de-AT" sz="1100" i="0">
              <a:solidFill>
                <a:srgbClr val="00327A"/>
              </a:solidFill>
              <a:effectLst/>
              <a:latin typeface="Calibri" panose="020F0502020204030204" pitchFamily="34" charset="0"/>
              <a:ea typeface="+mn-ea"/>
              <a:cs typeface="Calibri" panose="020F0502020204030204" pitchFamily="34" charset="0"/>
            </a:rPr>
            <a:t>Mehrere Zählpunkte mit identem Tarif können mit einer fiktiven Zählpunktnummer zusammengefasst werden (beispielsweise 1111 für Strom und 2222 für Erdgas).</a:t>
          </a:r>
        </a:p>
        <a:p>
          <a:r>
            <a:rPr lang="de-AT" sz="1100" i="0">
              <a:solidFill>
                <a:srgbClr val="00327A"/>
              </a:solidFill>
              <a:effectLst/>
              <a:latin typeface="Calibri" panose="020F0502020204030204" pitchFamily="34" charset="0"/>
              <a:ea typeface="+mn-ea"/>
              <a:cs typeface="Calibri" panose="020F0502020204030204" pitchFamily="34" charset="0"/>
            </a:rPr>
            <a:t> </a:t>
          </a:r>
        </a:p>
        <a:p>
          <a:pPr marL="0" indent="0"/>
          <a:r>
            <a:rPr lang="de-AT" sz="1100" b="1">
              <a:solidFill>
                <a:srgbClr val="00327A"/>
              </a:solidFill>
              <a:effectLst/>
              <a:latin typeface="Calibri" panose="020F0502020204030204" pitchFamily="34" charset="0"/>
              <a:ea typeface="+mn-ea"/>
              <a:cs typeface="Calibri" panose="020F0502020204030204" pitchFamily="34" charset="0"/>
            </a:rPr>
            <a:t>Tabellenblatt 2: Strom</a:t>
          </a:r>
          <a:r>
            <a:rPr lang="de-AT" sz="1100" b="1" baseline="0">
              <a:solidFill>
                <a:srgbClr val="00327A"/>
              </a:solidFill>
              <a:effectLst/>
              <a:latin typeface="Calibri" panose="020F0502020204030204" pitchFamily="34" charset="0"/>
              <a:ea typeface="+mn-ea"/>
              <a:cs typeface="Calibri" panose="020F0502020204030204" pitchFamily="34" charset="0"/>
            </a:rPr>
            <a:t>, </a:t>
          </a:r>
          <a:r>
            <a:rPr lang="de-AT" sz="1100" b="1">
              <a:solidFill>
                <a:srgbClr val="00327A"/>
              </a:solidFill>
              <a:effectLst/>
              <a:latin typeface="Calibri" panose="020F0502020204030204" pitchFamily="34" charset="0"/>
              <a:ea typeface="+mn-ea"/>
              <a:cs typeface="Calibri" panose="020F0502020204030204" pitchFamily="34" charset="0"/>
            </a:rPr>
            <a:t>Erdgas und Wärme/Kälte 2023</a:t>
          </a:r>
        </a:p>
        <a:p>
          <a:r>
            <a:rPr lang="de-AT" sz="1100" i="0">
              <a:solidFill>
                <a:srgbClr val="00327A"/>
              </a:solidFill>
              <a:effectLst/>
              <a:latin typeface="Calibri" panose="020F0502020204030204" pitchFamily="34" charset="0"/>
              <a:ea typeface="+mn-ea"/>
              <a:cs typeface="Calibri" panose="020F0502020204030204" pitchFamily="34" charset="0"/>
            </a:rPr>
            <a:t>Im zweiten Schritt wird der Durchschnittsarbeitspreis im Förderzeitraum berechnet und die Preissteigerung im Vergleich zu den eingegebenen Daten aus dem Tabellenblatt 1 ermittelt. Die Zählpunkte in den jeweiligen Tabellenblättern werden über die letzten vier Stellen der Zählpunktnummer (Zählpunkbezeichnung – beginnt mit AT und verfügt über 33-Stellen) identifiziert. Achten Sie dabei auf idente Angaben in den Tabellenblättern.</a:t>
          </a:r>
        </a:p>
        <a:p>
          <a:endParaRPr lang="de-AT" sz="1100" i="0">
            <a:solidFill>
              <a:srgbClr val="00327A"/>
            </a:solidFill>
            <a:effectLst/>
            <a:latin typeface="Calibri" panose="020F0502020204030204" pitchFamily="34" charset="0"/>
            <a:ea typeface="+mn-ea"/>
            <a:cs typeface="Calibri" panose="020F0502020204030204" pitchFamily="34" charset="0"/>
          </a:endParaRPr>
        </a:p>
        <a:p>
          <a:r>
            <a:rPr lang="de-AT" sz="1100" i="0">
              <a:solidFill>
                <a:srgbClr val="00327A"/>
              </a:solidFill>
              <a:effectLst/>
              <a:latin typeface="Calibri" panose="020F0502020204030204" pitchFamily="34" charset="0"/>
              <a:ea typeface="+mn-ea"/>
              <a:cs typeface="Calibri" panose="020F0502020204030204" pitchFamily="34" charset="0"/>
            </a:rPr>
            <a:t>Für die Ermittlung der Preissteigerung und die Berechnung des Durchschnittsarbeitspreises bzw. Energiemixes sind monatliche Angaben zum Arbeitspreis bzw. Energiemix (Strom-, Erdgas-</a:t>
          </a:r>
          <a:r>
            <a:rPr lang="de-AT" sz="1100" i="0" baseline="0">
              <a:solidFill>
                <a:srgbClr val="00327A"/>
              </a:solidFill>
              <a:effectLst/>
              <a:latin typeface="Calibri" panose="020F0502020204030204" pitchFamily="34" charset="0"/>
              <a:ea typeface="+mn-ea"/>
              <a:cs typeface="Calibri" panose="020F0502020204030204" pitchFamily="34" charset="0"/>
            </a:rPr>
            <a:t> bzw. Wärme-Kältekosten</a:t>
          </a:r>
          <a:r>
            <a:rPr lang="de-AT" sz="1100" i="0">
              <a:solidFill>
                <a:srgbClr val="00327A"/>
              </a:solidFill>
              <a:effectLst/>
              <a:latin typeface="Calibri" panose="020F0502020204030204" pitchFamily="34" charset="0"/>
              <a:ea typeface="+mn-ea"/>
              <a:cs typeface="Calibri" panose="020F0502020204030204" pitchFamily="34" charset="0"/>
            </a:rPr>
            <a:t> exkl. Steuern, Abgaben, Netzentgelte, etc.) und zum Strom-, Erdgas- bzw. Wärme/Kälteverbrauch im Förderungszeitraum (01.01.2023 bis 30.06.2023) erforderlich. Die monatlichen Verbrauchsangaben werden bei der Auswahl NEIN anhand der Angaben zur letzten Jahresabrechnung automatisch errechnet (Hochrechnungsmodus gem. Richtlinie). Andernfalls müssen die monatlichen Verbräuche anhand der Monats-Energierechnungen im Förderungszeitraum eingetragen werden. Die durchschnittlichen Arbeitspreise im jeweiligen Monat sind jedenfalls einzutragen. Der durchschnittliche Energiemixanteil im jeweiligen Monat (Anteil an Wärme/Dampf,</a:t>
          </a:r>
          <a:r>
            <a:rPr lang="de-AT" sz="1100" i="0" baseline="0">
              <a:solidFill>
                <a:srgbClr val="00327A"/>
              </a:solidFill>
              <a:effectLst/>
              <a:latin typeface="Calibri" panose="020F0502020204030204" pitchFamily="34" charset="0"/>
              <a:ea typeface="+mn-ea"/>
              <a:cs typeface="Calibri" panose="020F0502020204030204" pitchFamily="34" charset="0"/>
            </a:rPr>
            <a:t> der aus Strom, Erdgas bzw. Hackschnitzel/Holzpellets/Heizöl </a:t>
          </a:r>
          <a:r>
            <a:rPr lang="de-AT" sz="1100" i="0">
              <a:solidFill>
                <a:srgbClr val="00327A"/>
              </a:solidFill>
              <a:effectLst/>
              <a:latin typeface="Calibri" panose="020F0502020204030204" pitchFamily="34" charset="0"/>
              <a:ea typeface="+mn-ea"/>
              <a:cs typeface="Calibri" panose="020F0502020204030204" pitchFamily="34" charset="0"/>
            </a:rPr>
            <a:t>erzeugt wird) ist einzutragen und es wird der</a:t>
          </a:r>
          <a:r>
            <a:rPr lang="de-AT" sz="1100" i="0" baseline="0">
              <a:solidFill>
                <a:srgbClr val="00327A"/>
              </a:solidFill>
              <a:effectLst/>
              <a:latin typeface="Calibri" panose="020F0502020204030204" pitchFamily="34" charset="0"/>
              <a:ea typeface="+mn-ea"/>
              <a:cs typeface="Calibri" panose="020F0502020204030204" pitchFamily="34" charset="0"/>
            </a:rPr>
            <a:t> gewichtete Anteil in % ermittelt. </a:t>
          </a:r>
          <a:endParaRPr lang="de-AT" sz="1100" i="0">
            <a:solidFill>
              <a:srgbClr val="00327A"/>
            </a:solidFill>
            <a:effectLst/>
            <a:latin typeface="Calibri" panose="020F0502020204030204" pitchFamily="34" charset="0"/>
            <a:ea typeface="+mn-ea"/>
            <a:cs typeface="Calibri" panose="020F0502020204030204" pitchFamily="34" charset="0"/>
          </a:endParaRPr>
        </a:p>
        <a:p>
          <a:endParaRPr lang="de-AT" sz="1100" i="0">
            <a:solidFill>
              <a:srgbClr val="00327A"/>
            </a:solidFill>
            <a:effectLst/>
            <a:latin typeface="Calibri" panose="020F0502020204030204" pitchFamily="34" charset="0"/>
            <a:ea typeface="+mn-ea"/>
            <a:cs typeface="Calibri" panose="020F0502020204030204" pitchFamily="34" charset="0"/>
          </a:endParaRPr>
        </a:p>
        <a:p>
          <a:pPr marL="0" indent="0"/>
          <a:r>
            <a:rPr lang="de-AT" sz="1100" b="1">
              <a:solidFill>
                <a:srgbClr val="00327A"/>
              </a:solidFill>
              <a:effectLst/>
              <a:latin typeface="Calibri" panose="020F0502020204030204" pitchFamily="34" charset="0"/>
              <a:ea typeface="+mn-ea"/>
              <a:cs typeface="Calibri" panose="020F0502020204030204" pitchFamily="34" charset="0"/>
            </a:rPr>
            <a:t>Tabellenblätter</a:t>
          </a:r>
          <a:r>
            <a:rPr lang="de-AT" sz="1100" b="1" baseline="0">
              <a:solidFill>
                <a:srgbClr val="00327A"/>
              </a:solidFill>
              <a:effectLst/>
              <a:latin typeface="Calibri" panose="020F0502020204030204" pitchFamily="34" charset="0"/>
              <a:ea typeface="+mn-ea"/>
              <a:cs typeface="Calibri" panose="020F0502020204030204" pitchFamily="34" charset="0"/>
            </a:rPr>
            <a:t> 3: Treibstoffe</a:t>
          </a:r>
          <a:endParaRPr lang="de-AT" sz="1100" b="1">
            <a:solidFill>
              <a:srgbClr val="00327A"/>
            </a:solidFill>
            <a:effectLst/>
            <a:latin typeface="Calibri" panose="020F0502020204030204" pitchFamily="34" charset="0"/>
            <a:ea typeface="+mn-ea"/>
            <a:cs typeface="Calibri" panose="020F0502020204030204" pitchFamily="34" charset="0"/>
          </a:endParaRPr>
        </a:p>
        <a:p>
          <a:r>
            <a:rPr lang="de-AT" sz="1100" i="0">
              <a:solidFill>
                <a:srgbClr val="00327A"/>
              </a:solidFill>
              <a:effectLst/>
              <a:latin typeface="Calibri" panose="020F0502020204030204" pitchFamily="34" charset="0"/>
              <a:ea typeface="+mn-ea"/>
              <a:cs typeface="Calibri" panose="020F0502020204030204" pitchFamily="34" charset="0"/>
            </a:rPr>
            <a:t>Im dritten Schritt werden Angaben zu Treibstoffen im Förderungszeitraum, nämlich die Netto-/Bruttorechnungsbeträge</a:t>
          </a:r>
          <a:r>
            <a:rPr lang="de-AT" sz="1100" i="0" baseline="0">
              <a:solidFill>
                <a:srgbClr val="00327A"/>
              </a:solidFill>
              <a:effectLst/>
              <a:latin typeface="Calibri" panose="020F0502020204030204" pitchFamily="34" charset="0"/>
              <a:ea typeface="+mn-ea"/>
              <a:cs typeface="Calibri" panose="020F0502020204030204" pitchFamily="34" charset="0"/>
            </a:rPr>
            <a:t> in </a:t>
          </a:r>
          <a:r>
            <a:rPr lang="de-AT" sz="1100" i="0">
              <a:solidFill>
                <a:srgbClr val="00327A"/>
              </a:solidFill>
              <a:effectLst/>
              <a:latin typeface="Calibri" panose="020F0502020204030204" pitchFamily="34" charset="0"/>
              <a:ea typeface="+mn-ea"/>
              <a:cs typeface="Calibri" panose="020F0502020204030204" pitchFamily="34" charset="0"/>
            </a:rPr>
            <a:t>Euro und der Verbrauch in Liter im Förderzeitraum (01.01.2023 </a:t>
          </a:r>
          <a:r>
            <a:rPr lang="de-AT" sz="1100" i="0" baseline="0">
              <a:solidFill>
                <a:srgbClr val="00327A"/>
              </a:solidFill>
              <a:effectLst/>
              <a:latin typeface="Calibri" panose="020F0502020204030204" pitchFamily="34" charset="0"/>
              <a:ea typeface="+mn-ea"/>
              <a:cs typeface="Calibri" panose="020F0502020204030204" pitchFamily="34" charset="0"/>
            </a:rPr>
            <a:t>bis 30.06.2023) </a:t>
          </a:r>
          <a:r>
            <a:rPr lang="de-AT" sz="1100" i="0">
              <a:solidFill>
                <a:srgbClr val="00327A"/>
              </a:solidFill>
              <a:effectLst/>
              <a:latin typeface="Calibri" panose="020F0502020204030204" pitchFamily="34" charset="0"/>
              <a:ea typeface="+mn-ea"/>
              <a:cs typeface="Calibri" panose="020F0502020204030204" pitchFamily="34" charset="0"/>
            </a:rPr>
            <a:t>benötigt. Hierbei sind sämtliche Rechnungen für den förderungsfähigen Zeitraum in die Tabelle einzutragen.</a:t>
          </a:r>
        </a:p>
        <a:p>
          <a:r>
            <a:rPr lang="de-AT" sz="1100" i="0">
              <a:solidFill>
                <a:srgbClr val="00327A"/>
              </a:solidFill>
              <a:effectLst/>
              <a:latin typeface="Calibri" panose="020F0502020204030204" pitchFamily="34" charset="0"/>
              <a:ea typeface="+mn-ea"/>
              <a:cs typeface="Calibri" panose="020F0502020204030204" pitchFamily="34" charset="0"/>
            </a:rPr>
            <a:t>Es sind alle Felder, die benötigt werden, auszufüllen. Wenn es sich um eine Position handelt, die nicht vorsteuerabzugsberechtigt ist, dann ist der Wert der entsprechenden Spalte auf "Nein" zu ändern. Wenn es sich um eine Position mit Treibstoffspezifikation</a:t>
          </a:r>
          <a:r>
            <a:rPr lang="de-AT" sz="1100" i="0" baseline="0">
              <a:solidFill>
                <a:srgbClr val="00327A"/>
              </a:solidFill>
              <a:effectLst/>
              <a:latin typeface="Calibri" panose="020F0502020204030204" pitchFamily="34" charset="0"/>
              <a:ea typeface="+mn-ea"/>
              <a:cs typeface="Calibri" panose="020F0502020204030204" pitchFamily="34" charset="0"/>
            </a:rPr>
            <a:t> "Diesel B0" bzw. "Benzin E0" </a:t>
          </a:r>
          <a:r>
            <a:rPr lang="de-AT" sz="1100" i="0">
              <a:solidFill>
                <a:srgbClr val="00327A"/>
              </a:solidFill>
              <a:effectLst/>
              <a:latin typeface="Calibri" panose="020F0502020204030204" pitchFamily="34" charset="0"/>
              <a:ea typeface="+mn-ea"/>
              <a:cs typeface="Calibri" panose="020F0502020204030204" pitchFamily="34" charset="0"/>
            </a:rPr>
            <a:t>handelt, dann ist in der entsprechenden Spalte eine</a:t>
          </a:r>
          <a:r>
            <a:rPr lang="de-AT" sz="1100" i="0" baseline="0">
              <a:solidFill>
                <a:srgbClr val="00327A"/>
              </a:solidFill>
              <a:effectLst/>
              <a:latin typeface="Calibri" panose="020F0502020204030204" pitchFamily="34" charset="0"/>
              <a:ea typeface="+mn-ea"/>
              <a:cs typeface="Calibri" panose="020F0502020204030204" pitchFamily="34" charset="0"/>
            </a:rPr>
            <a:t> Auswahl zu treffen</a:t>
          </a:r>
          <a:r>
            <a:rPr lang="de-AT" sz="1100" i="0">
              <a:solidFill>
                <a:srgbClr val="00327A"/>
              </a:solidFill>
              <a:effectLst/>
              <a:latin typeface="Calibri" panose="020F0502020204030204" pitchFamily="34" charset="0"/>
              <a:ea typeface="+mn-ea"/>
              <a:cs typeface="Calibri" panose="020F0502020204030204" pitchFamily="34" charset="0"/>
            </a:rPr>
            <a:t>. Die eingegebenen Daten werden automatisch in das Berechnungsblatt</a:t>
          </a:r>
          <a:r>
            <a:rPr lang="de-AT" sz="1100" i="0" baseline="0">
              <a:solidFill>
                <a:srgbClr val="00327A"/>
              </a:solidFill>
              <a:effectLst/>
              <a:latin typeface="Calibri" panose="020F0502020204030204" pitchFamily="34" charset="0"/>
              <a:ea typeface="+mn-ea"/>
              <a:cs typeface="Calibri" panose="020F0502020204030204" pitchFamily="34" charset="0"/>
            </a:rPr>
            <a:t> "3 - Treibstoffe" </a:t>
          </a:r>
          <a:r>
            <a:rPr lang="de-AT" sz="1100" i="0">
              <a:solidFill>
                <a:srgbClr val="00327A"/>
              </a:solidFill>
              <a:effectLst/>
              <a:latin typeface="Calibri" panose="020F0502020204030204" pitchFamily="34" charset="0"/>
              <a:ea typeface="+mn-ea"/>
              <a:cs typeface="Calibri" panose="020F0502020204030204" pitchFamily="34" charset="0"/>
            </a:rPr>
            <a:t>übernommen und der förderungsfähige Preis</a:t>
          </a:r>
          <a:r>
            <a:rPr lang="de-AT" sz="1100" i="0" baseline="0">
              <a:solidFill>
                <a:srgbClr val="00327A"/>
              </a:solidFill>
              <a:effectLst/>
              <a:latin typeface="Calibri" panose="020F0502020204030204" pitchFamily="34" charset="0"/>
              <a:ea typeface="+mn-ea"/>
              <a:cs typeface="Calibri" panose="020F0502020204030204" pitchFamily="34" charset="0"/>
            </a:rPr>
            <a:t> ermittelt. </a:t>
          </a:r>
        </a:p>
        <a:p>
          <a:endParaRPr lang="de-AT" sz="1100" i="0" baseline="0">
            <a:solidFill>
              <a:srgbClr val="00327A"/>
            </a:solidFill>
            <a:effectLst/>
            <a:latin typeface="Calibri" panose="020F0502020204030204" pitchFamily="34" charset="0"/>
            <a:ea typeface="+mn-ea"/>
            <a:cs typeface="Calibri" panose="020F0502020204030204" pitchFamily="34" charset="0"/>
          </a:endParaRPr>
        </a:p>
        <a:p>
          <a:r>
            <a:rPr lang="de-AT" sz="1100" b="1" baseline="0">
              <a:solidFill>
                <a:srgbClr val="00327A"/>
              </a:solidFill>
              <a:effectLst/>
              <a:latin typeface="Calibri" panose="020F0502020204030204" pitchFamily="34" charset="0"/>
              <a:ea typeface="+mn-ea"/>
              <a:cs typeface="Calibri" panose="020F0502020204030204" pitchFamily="34" charset="0"/>
            </a:rPr>
            <a:t>Tabellenblätter 4: Heizöl/Holzpellets/Hackschnitzel</a:t>
          </a:r>
        </a:p>
        <a:p>
          <a:r>
            <a:rPr lang="de-AT" sz="1100" i="0">
              <a:solidFill>
                <a:srgbClr val="00327A"/>
              </a:solidFill>
              <a:effectLst/>
              <a:latin typeface="Calibri" panose="020F0502020204030204" pitchFamily="34" charset="0"/>
              <a:ea typeface="+mn-ea"/>
              <a:cs typeface="Calibri" panose="020F0502020204030204" pitchFamily="34" charset="0"/>
            </a:rPr>
            <a:t>Im Tabellenblatt 4 können die Energieformen Heizöl, Holzpellets und Hackschnitzel mittels eines Drop-down Menüs ausgewählt werden. Abhängig von den ausgewählten Energieformen, wird mit der Durchschnittspreisermittlung und der Ermittlung der förderungsfähigen Menge fortgefahren.</a:t>
          </a:r>
        </a:p>
        <a:p>
          <a:pPr marL="0" indent="0"/>
          <a:r>
            <a:rPr lang="de-AT" sz="1100" i="0">
              <a:solidFill>
                <a:srgbClr val="00327A"/>
              </a:solidFill>
              <a:effectLst/>
              <a:latin typeface="Calibri" panose="020F0502020204030204" pitchFamily="34" charset="0"/>
              <a:ea typeface="+mn-ea"/>
              <a:cs typeface="Calibri" panose="020F0502020204030204" pitchFamily="34" charset="0"/>
            </a:rPr>
            <a:t>Es ist zudem anzugeben ob es sich um ein Vorsteuer-abzugsberechtigtes Unternehmen handelt. Im Bereich "Durchschnittspreisermittlung" sind jeweils die </a:t>
          </a:r>
          <a:r>
            <a:rPr lang="de-AT" sz="1100" i="0" u="sng">
              <a:solidFill>
                <a:srgbClr val="00327A"/>
              </a:solidFill>
              <a:effectLst/>
              <a:latin typeface="Calibri" panose="020F0502020204030204" pitchFamily="34" charset="0"/>
              <a:ea typeface="+mn-ea"/>
              <a:cs typeface="Calibri" panose="020F0502020204030204" pitchFamily="34" charset="0"/>
            </a:rPr>
            <a:t>summierten Mengen </a:t>
          </a:r>
          <a:r>
            <a:rPr lang="de-AT" sz="1100" i="0">
              <a:solidFill>
                <a:srgbClr val="00327A"/>
              </a:solidFill>
              <a:effectLst/>
              <a:latin typeface="Calibri" panose="020F0502020204030204" pitchFamily="34" charset="0"/>
              <a:ea typeface="+mn-ea"/>
              <a:cs typeface="Calibri" panose="020F0502020204030204" pitchFamily="34" charset="0"/>
            </a:rPr>
            <a:t>bzw</a:t>
          </a:r>
          <a:r>
            <a:rPr lang="de-AT" sz="1100" i="0" u="sng">
              <a:solidFill>
                <a:srgbClr val="00327A"/>
              </a:solidFill>
              <a:effectLst/>
              <a:latin typeface="Calibri" panose="020F0502020204030204" pitchFamily="34" charset="0"/>
              <a:ea typeface="+mn-ea"/>
              <a:cs typeface="Calibri" panose="020F0502020204030204" pitchFamily="34" charset="0"/>
            </a:rPr>
            <a:t>. summierten Nettorechnungsbeträge </a:t>
          </a:r>
          <a:r>
            <a:rPr lang="de-AT" sz="1100" i="0">
              <a:solidFill>
                <a:srgbClr val="00327A"/>
              </a:solidFill>
              <a:effectLst/>
              <a:latin typeface="Calibri" panose="020F0502020204030204" pitchFamily="34" charset="0"/>
              <a:ea typeface="+mn-ea"/>
              <a:cs typeface="Calibri" panose="020F0502020204030204" pitchFamily="34" charset="0"/>
            </a:rPr>
            <a:t>für den jeweiligen Rechnungszeitraum anzugeben. Achten Sie dabei auf die korrekten Mengeneinheiten in Liter bzw. Tonnen. Sofern keine Rechnungen für den Vergleichszeitraum 2021 vorliegen, ist im Bereich für Vergleichszeitraum ein "NEIN" auszuwählen. Anschließend ist unter "förderfähige Menge" die anzuwendende Berechnungsart auszuwählen (entweder Verbrauchsermittlung auf Basis von "Inventurmethode" oder Verbrauchsermittlung auf "Basis der Einkäufe aus den letzten 3 Jahren"). Je nach Auswahlart sind im unteren Bereich die Informationen bezüglich Inventur und/oder Einkäufen anzugeben.</a:t>
          </a:r>
          <a:br>
            <a:rPr lang="de-AT" sz="1100" i="0" baseline="0">
              <a:solidFill>
                <a:srgbClr val="000066"/>
              </a:solidFill>
              <a:effectLst/>
              <a:latin typeface="Calibri" panose="020F0502020204030204" pitchFamily="34" charset="0"/>
              <a:ea typeface="+mn-ea"/>
              <a:cs typeface="Calibri" panose="020F0502020204030204" pitchFamily="34" charset="0"/>
            </a:rPr>
          </a:br>
          <a:br>
            <a:rPr lang="de-AT" sz="1100" i="0">
              <a:solidFill>
                <a:srgbClr val="000066"/>
              </a:solidFill>
              <a:effectLst/>
              <a:latin typeface="Calibri" panose="020F0502020204030204" pitchFamily="34" charset="0"/>
              <a:ea typeface="+mn-ea"/>
              <a:cs typeface="Calibri" panose="020F0502020204030204" pitchFamily="34" charset="0"/>
            </a:rPr>
          </a:br>
          <a:r>
            <a:rPr lang="de-AT" sz="1100" b="1" baseline="0">
              <a:solidFill>
                <a:srgbClr val="00327A"/>
              </a:solidFill>
              <a:effectLst/>
              <a:latin typeface="Calibri" panose="020F0502020204030204" pitchFamily="34" charset="0"/>
              <a:ea typeface="+mn-ea"/>
              <a:cs typeface="Calibri" panose="020F0502020204030204" pitchFamily="34" charset="0"/>
            </a:rPr>
            <a:t>Tabellenblatt 5: Zuschuss</a:t>
          </a:r>
        </a:p>
        <a:p>
          <a:r>
            <a:rPr lang="de-AT" sz="1100" i="0">
              <a:solidFill>
                <a:srgbClr val="00327A"/>
              </a:solidFill>
              <a:effectLst/>
              <a:latin typeface="Calibri" panose="020F0502020204030204" pitchFamily="34" charset="0"/>
              <a:ea typeface="+mn-ea"/>
              <a:cs typeface="Calibri" panose="020F0502020204030204" pitchFamily="34" charset="0"/>
            </a:rPr>
            <a:t>Im letzten Schritt finden Sie die unverbindliche Berechnung Ihres Gesamtzuschusses.</a:t>
          </a:r>
        </a:p>
        <a:p>
          <a:r>
            <a:rPr lang="de-AT" sz="1100" i="0">
              <a:solidFill>
                <a:srgbClr val="00327A"/>
              </a:solidFill>
              <a:effectLst/>
              <a:latin typeface="Calibri" panose="020F0502020204030204" pitchFamily="34" charset="0"/>
              <a:ea typeface="+mn-ea"/>
              <a:cs typeface="Calibri" panose="020F0502020204030204" pitchFamily="34" charset="0"/>
            </a:rPr>
            <a:t> </a:t>
          </a:r>
        </a:p>
        <a:p>
          <a:pPr>
            <a:spcBef>
              <a:spcPts val="600"/>
            </a:spcBef>
          </a:pPr>
          <a:endParaRPr lang="de-AT" sz="1100">
            <a:solidFill>
              <a:srgbClr val="00327A"/>
            </a:solidFill>
            <a:latin typeface="Calibri" panose="020F0502020204030204" pitchFamily="34" charset="0"/>
            <a:cs typeface="Calibri" panose="020F0502020204030204" pitchFamily="34" charset="0"/>
          </a:endParaRPr>
        </a:p>
      </xdr:txBody>
    </xdr:sp>
    <xdr:clientData/>
  </xdr:twoCellAnchor>
  <xdr:oneCellAnchor>
    <xdr:from>
      <xdr:col>6</xdr:col>
      <xdr:colOff>409575</xdr:colOff>
      <xdr:row>2</xdr:row>
      <xdr:rowOff>9525</xdr:rowOff>
    </xdr:from>
    <xdr:ext cx="2306881" cy="545465"/>
    <xdr:pic>
      <xdr:nvPicPr>
        <xdr:cNvPr id="3" name="Grafik 2" descr="aws Logo">
          <a:extLst>
            <a:ext uri="{FF2B5EF4-FFF2-40B4-BE49-F238E27FC236}">
              <a16:creationId xmlns:a16="http://schemas.microsoft.com/office/drawing/2014/main" id="{A604894F-31C7-4F89-9E35-2D8BFD28B6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5825" y="390525"/>
          <a:ext cx="2306881" cy="545465"/>
        </a:xfrm>
        <a:prstGeom prst="rect">
          <a:avLst/>
        </a:prstGeom>
      </xdr:spPr>
    </xdr:pic>
    <xdr:clientData/>
  </xdr:oneCellAnchor>
  <xdr:twoCellAnchor editAs="oneCell">
    <xdr:from>
      <xdr:col>7</xdr:col>
      <xdr:colOff>400050</xdr:colOff>
      <xdr:row>6</xdr:row>
      <xdr:rowOff>92338</xdr:rowOff>
    </xdr:from>
    <xdr:to>
      <xdr:col>9</xdr:col>
      <xdr:colOff>542925</xdr:colOff>
      <xdr:row>7</xdr:row>
      <xdr:rowOff>142820</xdr:rowOff>
    </xdr:to>
    <xdr:pic>
      <xdr:nvPicPr>
        <xdr:cNvPr id="4" name="Grafik 3">
          <a:extLst>
            <a:ext uri="{FF2B5EF4-FFF2-40B4-BE49-F238E27FC236}">
              <a16:creationId xmlns:a16="http://schemas.microsoft.com/office/drawing/2014/main" id="{E7F55D06-03A0-4E39-EAFD-452EA4F53261}"/>
            </a:ext>
          </a:extLst>
        </xdr:cNvPr>
        <xdr:cNvPicPr>
          <a:picLocks noChangeAspect="1"/>
        </xdr:cNvPicPr>
      </xdr:nvPicPr>
      <xdr:blipFill>
        <a:blip xmlns:r="http://schemas.openxmlformats.org/officeDocument/2006/relationships" r:embed="rId2"/>
        <a:stretch>
          <a:fillRect/>
        </a:stretch>
      </xdr:blipFill>
      <xdr:spPr>
        <a:xfrm>
          <a:off x="5400675" y="1235338"/>
          <a:ext cx="1571625" cy="240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497417</xdr:colOff>
      <xdr:row>1</xdr:row>
      <xdr:rowOff>158788</xdr:rowOff>
    </xdr:from>
    <xdr:to>
      <xdr:col>22</xdr:col>
      <xdr:colOff>190564</xdr:colOff>
      <xdr:row>3</xdr:row>
      <xdr:rowOff>95218</xdr:rowOff>
    </xdr:to>
    <xdr:pic>
      <xdr:nvPicPr>
        <xdr:cNvPr id="4" name="Grafik 3" descr="aws Logo">
          <a:extLst>
            <a:ext uri="{FF2B5EF4-FFF2-40B4-BE49-F238E27FC236}">
              <a16:creationId xmlns:a16="http://schemas.microsoft.com/office/drawing/2014/main" id="{BDCEF57F-1FC7-42FC-BE3F-0F33732249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48417" y="370455"/>
          <a:ext cx="2233147" cy="518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257735</xdr:colOff>
      <xdr:row>1</xdr:row>
      <xdr:rowOff>89647</xdr:rowOff>
    </xdr:from>
    <xdr:to>
      <xdr:col>21</xdr:col>
      <xdr:colOff>59506</xdr:colOff>
      <xdr:row>3</xdr:row>
      <xdr:rowOff>54871</xdr:rowOff>
    </xdr:to>
    <xdr:pic>
      <xdr:nvPicPr>
        <xdr:cNvPr id="3" name="Grafik 2" descr="aws Logo">
          <a:extLst>
            <a:ext uri="{FF2B5EF4-FFF2-40B4-BE49-F238E27FC236}">
              <a16:creationId xmlns:a16="http://schemas.microsoft.com/office/drawing/2014/main" id="{039525EA-9C4A-415D-A4C2-B58D1E7FC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94088" y="302559"/>
          <a:ext cx="2341695" cy="5517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207170</xdr:colOff>
      <xdr:row>3</xdr:row>
      <xdr:rowOff>113188</xdr:rowOff>
    </xdr:from>
    <xdr:to>
      <xdr:col>10</xdr:col>
      <xdr:colOff>1008221</xdr:colOff>
      <xdr:row>10</xdr:row>
      <xdr:rowOff>35720</xdr:rowOff>
    </xdr:to>
    <xdr:sp macro="" textlink="">
      <xdr:nvSpPr>
        <xdr:cNvPr id="2" name="Textfeld 1">
          <a:extLst>
            <a:ext uri="{FF2B5EF4-FFF2-40B4-BE49-F238E27FC236}">
              <a16:creationId xmlns:a16="http://schemas.microsoft.com/office/drawing/2014/main" id="{2A8B0911-691B-4F85-B2E3-31BC4074CBBB}"/>
            </a:ext>
          </a:extLst>
        </xdr:cNvPr>
        <xdr:cNvSpPr txBox="1"/>
      </xdr:nvSpPr>
      <xdr:spPr>
        <a:xfrm>
          <a:off x="326233" y="1101407"/>
          <a:ext cx="12623957" cy="1613219"/>
        </a:xfrm>
        <a:prstGeom prst="rect">
          <a:avLst/>
        </a:prstGeom>
        <a:solidFill>
          <a:srgbClr val="D9E1F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200">
              <a:solidFill>
                <a:srgbClr val="002060"/>
              </a:solidFill>
              <a:latin typeface="Calibri" panose="020F0502020204030204" pitchFamily="34" charset="0"/>
              <a:cs typeface="Calibri" panose="020F0502020204030204" pitchFamily="34" charset="0"/>
            </a:rPr>
            <a:t>Diese Berechnungshilfe dient zur Berechnung der förderungsfähigen Treibstoffkosten. </a:t>
          </a:r>
          <a:br>
            <a:rPr lang="de-AT" sz="1200">
              <a:solidFill>
                <a:srgbClr val="002060"/>
              </a:solidFill>
              <a:latin typeface="Calibri" panose="020F0502020204030204" pitchFamily="34" charset="0"/>
              <a:cs typeface="Calibri" panose="020F0502020204030204" pitchFamily="34" charset="0"/>
            </a:rPr>
          </a:br>
          <a:r>
            <a:rPr lang="de-AT" sz="1200" b="1">
              <a:solidFill>
                <a:srgbClr val="002060"/>
              </a:solidFill>
              <a:latin typeface="Calibri" panose="020F0502020204030204" pitchFamily="34" charset="0"/>
              <a:cs typeface="Calibri" panose="020F0502020204030204" pitchFamily="34" charset="0"/>
            </a:rPr>
            <a:t>Hierbei sind sämtliche Rechnungen für den förderungsfähigen Zeitraum in die Tabelle einzutragen.</a:t>
          </a:r>
        </a:p>
        <a:p>
          <a:r>
            <a:rPr lang="de-AT" sz="1200" b="0">
              <a:solidFill>
                <a:srgbClr val="002060"/>
              </a:solidFill>
              <a:latin typeface="Calibri" panose="020F0502020204030204" pitchFamily="34" charset="0"/>
              <a:cs typeface="Calibri" panose="020F0502020204030204" pitchFamily="34" charset="0"/>
            </a:rPr>
            <a:t>Es sind alle Felder,</a:t>
          </a:r>
          <a:r>
            <a:rPr lang="de-AT" sz="1200" b="0" baseline="0">
              <a:solidFill>
                <a:srgbClr val="002060"/>
              </a:solidFill>
              <a:latin typeface="Calibri" panose="020F0502020204030204" pitchFamily="34" charset="0"/>
              <a:cs typeface="Calibri" panose="020F0502020204030204" pitchFamily="34" charset="0"/>
            </a:rPr>
            <a:t> </a:t>
          </a:r>
          <a:r>
            <a:rPr lang="de-AT" sz="1200" b="0">
              <a:solidFill>
                <a:srgbClr val="002060"/>
              </a:solidFill>
              <a:latin typeface="Calibri" panose="020F0502020204030204" pitchFamily="34" charset="0"/>
              <a:cs typeface="Calibri" panose="020F0502020204030204" pitchFamily="34" charset="0"/>
            </a:rPr>
            <a:t>die benötigt werden, auszufüllen</a:t>
          </a:r>
          <a:r>
            <a:rPr lang="de-AT" sz="1200" baseline="0">
              <a:solidFill>
                <a:srgbClr val="002060"/>
              </a:solidFill>
              <a:latin typeface="Calibri" panose="020F0502020204030204" pitchFamily="34" charset="0"/>
              <a:cs typeface="Calibri" panose="020F0502020204030204" pitchFamily="34" charset="0"/>
            </a:rPr>
            <a:t>. Wenn es sich um eine Position handelt, die nicht vorsteuerabzugsberechtigt ist, dann ist der Wert der entsprechenden Spalte auf "Nein" zu ändern. </a:t>
          </a:r>
          <a:br>
            <a:rPr lang="de-AT" sz="1200" baseline="0">
              <a:solidFill>
                <a:srgbClr val="002060"/>
              </a:solidFill>
              <a:latin typeface="Calibri" panose="020F0502020204030204" pitchFamily="34" charset="0"/>
              <a:cs typeface="Calibri" panose="020F0502020204030204" pitchFamily="34" charset="0"/>
            </a:rPr>
          </a:br>
          <a:r>
            <a:rPr lang="de-AT" sz="1200" baseline="0">
              <a:solidFill>
                <a:srgbClr val="002060"/>
              </a:solidFill>
              <a:latin typeface="Calibri" panose="020F0502020204030204" pitchFamily="34" charset="0"/>
              <a:cs typeface="Calibri" panose="020F0502020204030204" pitchFamily="34" charset="0"/>
            </a:rPr>
            <a:t>Falls es sich um eine herkömmliche Treibstoffart "Diesel B7, Diesel B10, etc. oder Benzin E5, E10, etc." handelt, dann ist der Wert in der Spalte "Treibstoffspezifikation" auf "Standard" zu belassen.</a:t>
          </a:r>
        </a:p>
        <a:p>
          <a:r>
            <a:rPr lang="de-AT" sz="1200" baseline="0">
              <a:solidFill>
                <a:srgbClr val="002060"/>
              </a:solidFill>
              <a:latin typeface="Calibri" panose="020F0502020204030204" pitchFamily="34" charset="0"/>
              <a:cs typeface="Calibri" panose="020F0502020204030204" pitchFamily="34" charset="0"/>
            </a:rPr>
            <a:t>Falls es sich um eine Treibstoffart "Diesel B0" oder "Benzin E0" handelt, dann ist der Wert in der Spalte "Treibstoffspezifikation" entsprechend anzupassen.</a:t>
          </a:r>
        </a:p>
        <a:p>
          <a:r>
            <a:rPr lang="de-AT" sz="1200" baseline="0">
              <a:solidFill>
                <a:srgbClr val="002060"/>
              </a:solidFill>
              <a:latin typeface="Calibri" panose="020F0502020204030204" pitchFamily="34" charset="0"/>
              <a:cs typeface="Calibri" panose="020F0502020204030204" pitchFamily="34" charset="0"/>
            </a:rPr>
            <a:t>Die eingegebenen Daten werden automatisch in das Übersichtsblatt übernommen und der förderungsfähige Preis ermittelt. </a:t>
          </a:r>
          <a:endParaRPr lang="de-AT" sz="1200" b="0" i="0" u="none">
            <a:solidFill>
              <a:srgbClr val="002060"/>
            </a:solidFill>
            <a:effectLst/>
            <a:latin typeface="Calibri" panose="020F0502020204030204" pitchFamily="34" charset="0"/>
            <a:ea typeface="+mn-ea"/>
            <a:cs typeface="Calibri" panose="020F0502020204030204" pitchFamily="34" charset="0"/>
          </a:endParaRPr>
        </a:p>
      </xdr:txBody>
    </xdr:sp>
    <xdr:clientData/>
  </xdr:twoCellAnchor>
  <xdr:twoCellAnchor editAs="oneCell">
    <xdr:from>
      <xdr:col>10</xdr:col>
      <xdr:colOff>62371</xdr:colOff>
      <xdr:row>0</xdr:row>
      <xdr:rowOff>125730</xdr:rowOff>
    </xdr:from>
    <xdr:to>
      <xdr:col>10</xdr:col>
      <xdr:colOff>2230278</xdr:colOff>
      <xdr:row>1</xdr:row>
      <xdr:rowOff>321038</xdr:rowOff>
    </xdr:to>
    <xdr:pic>
      <xdr:nvPicPr>
        <xdr:cNvPr id="3" name="Grafik 2" descr="aws Logo">
          <a:extLst>
            <a:ext uri="{FF2B5EF4-FFF2-40B4-BE49-F238E27FC236}">
              <a16:creationId xmlns:a16="http://schemas.microsoft.com/office/drawing/2014/main" id="{3F57FBBF-EDEC-4A7A-AB2A-876BB6C502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4340" y="125730"/>
          <a:ext cx="2164097" cy="5486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87630</xdr:colOff>
      <xdr:row>31</xdr:row>
      <xdr:rowOff>98849</xdr:rowOff>
    </xdr:from>
    <xdr:to>
      <xdr:col>5</xdr:col>
      <xdr:colOff>76200</xdr:colOff>
      <xdr:row>40</xdr:row>
      <xdr:rowOff>91948</xdr:rowOff>
    </xdr:to>
    <xdr:sp macro="" textlink="">
      <xdr:nvSpPr>
        <xdr:cNvPr id="3" name="Textfeld 2">
          <a:extLst>
            <a:ext uri="{FF2B5EF4-FFF2-40B4-BE49-F238E27FC236}">
              <a16:creationId xmlns:a16="http://schemas.microsoft.com/office/drawing/2014/main" id="{5CE0642B-6A57-4FD1-BE3F-9DA89A2ABAA1}"/>
            </a:ext>
          </a:extLst>
        </xdr:cNvPr>
        <xdr:cNvSpPr txBox="1"/>
      </xdr:nvSpPr>
      <xdr:spPr>
        <a:xfrm>
          <a:off x="87630" y="5032799"/>
          <a:ext cx="6922770" cy="1774274"/>
        </a:xfrm>
        <a:prstGeom prst="rect">
          <a:avLst/>
        </a:prstGeom>
        <a:solidFill>
          <a:srgbClr val="D9E1F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72000" algn="l">
            <a:lnSpc>
              <a:spcPts val="1600"/>
            </a:lnSpc>
            <a:spcBef>
              <a:spcPts val="600"/>
            </a:spcBef>
            <a:spcAft>
              <a:spcPts val="600"/>
            </a:spcAft>
          </a:pPr>
          <a:r>
            <a:rPr lang="de-AT" sz="1100" b="0">
              <a:solidFill>
                <a:srgbClr val="002060"/>
              </a:solidFill>
              <a:latin typeface="Calibri" panose="020F0502020204030204" pitchFamily="34" charset="0"/>
              <a:cs typeface="Calibri" panose="020F0502020204030204" pitchFamily="34" charset="0"/>
            </a:rPr>
            <a:t>Für die Berechnung des durchschnittlichen Nettopreises (des förderungsfähigen Zeitraumes) wird aus den verrechneten Nettopreisen für Benzin und Diesel </a:t>
          </a:r>
          <a:r>
            <a:rPr lang="de-AT" sz="1100" b="1">
              <a:solidFill>
                <a:srgbClr val="002060"/>
              </a:solidFill>
              <a:latin typeface="Calibri" panose="020F0502020204030204" pitchFamily="34" charset="0"/>
              <a:cs typeface="Calibri" panose="020F0502020204030204" pitchFamily="34" charset="0"/>
            </a:rPr>
            <a:t>ein gewichteter Durchschnitt</a:t>
          </a:r>
          <a:r>
            <a:rPr lang="de-AT" sz="1100" b="0">
              <a:solidFill>
                <a:srgbClr val="002060"/>
              </a:solidFill>
              <a:latin typeface="Calibri" panose="020F0502020204030204" pitchFamily="34" charset="0"/>
              <a:cs typeface="Calibri" panose="020F0502020204030204" pitchFamily="34" charset="0"/>
            </a:rPr>
            <a:t>, </a:t>
          </a:r>
          <a:r>
            <a:rPr lang="de-AT" sz="1100" b="1">
              <a:solidFill>
                <a:srgbClr val="002060"/>
              </a:solidFill>
              <a:latin typeface="Calibri" panose="020F0502020204030204" pitchFamily="34" charset="0"/>
              <a:cs typeface="Calibri" panose="020F0502020204030204" pitchFamily="34" charset="0"/>
            </a:rPr>
            <a:t>anhand des Verbrauchs, </a:t>
          </a:r>
          <a:r>
            <a:rPr lang="de-AT" sz="1100" b="0">
              <a:solidFill>
                <a:srgbClr val="002060"/>
              </a:solidFill>
              <a:latin typeface="Calibri" panose="020F0502020204030204" pitchFamily="34" charset="0"/>
              <a:cs typeface="Calibri" panose="020F0502020204030204" pitchFamily="34" charset="0"/>
            </a:rPr>
            <a:t>gebildet. Unter Förderungsfähiger Preis ist der Preis pro Mengeneinheit exklusive Steuern (z.B. Umsatzsteuer, Mineralölsteuer) zu verstehen, jedoch inklusive einer gemäß § 12 UStG nicht abzugsfähigen Vorsteuer, die sich auf den Nettopreis bezieht. </a:t>
          </a:r>
          <a:r>
            <a:rPr lang="de-AT" sz="1100" b="0">
              <a:solidFill>
                <a:srgbClr val="002060"/>
              </a:solidFill>
              <a:latin typeface="Calibri" panose="020F0502020204030204" pitchFamily="34" charset="0"/>
              <a:ea typeface="+mn-ea"/>
              <a:cs typeface="Calibri" panose="020F0502020204030204" pitchFamily="34" charset="0"/>
            </a:rPr>
            <a:t>Bei einem gemischten Fuhrpark im Betrieb ist ein gewichteter Durchschnitt zwischen Preisen der vorsteuerabzugsberechtigten Fahrzeuge und der nicht-vorsteuerabzugsberechtigten Fahrzeuge förderungsfähig.</a:t>
          </a:r>
        </a:p>
      </xdr:txBody>
    </xdr:sp>
    <xdr:clientData/>
  </xdr:twoCellAnchor>
  <xdr:twoCellAnchor editAs="oneCell">
    <xdr:from>
      <xdr:col>16</xdr:col>
      <xdr:colOff>542925</xdr:colOff>
      <xdr:row>0</xdr:row>
      <xdr:rowOff>77433</xdr:rowOff>
    </xdr:from>
    <xdr:to>
      <xdr:col>19</xdr:col>
      <xdr:colOff>668318</xdr:colOff>
      <xdr:row>2</xdr:row>
      <xdr:rowOff>1948</xdr:rowOff>
    </xdr:to>
    <xdr:pic>
      <xdr:nvPicPr>
        <xdr:cNvPr id="4" name="Grafik 3" descr="aws Logo">
          <a:extLst>
            <a:ext uri="{FF2B5EF4-FFF2-40B4-BE49-F238E27FC236}">
              <a16:creationId xmlns:a16="http://schemas.microsoft.com/office/drawing/2014/main" id="{0A1CD073-B516-4F9C-ABEE-898449FC4D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6125" y="77433"/>
          <a:ext cx="2268518" cy="5341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440531</xdr:colOff>
      <xdr:row>9</xdr:row>
      <xdr:rowOff>0</xdr:rowOff>
    </xdr:from>
    <xdr:to>
      <xdr:col>19</xdr:col>
      <xdr:colOff>1030941</xdr:colOff>
      <xdr:row>16</xdr:row>
      <xdr:rowOff>235323</xdr:rowOff>
    </xdr:to>
    <xdr:sp macro="" textlink="">
      <xdr:nvSpPr>
        <xdr:cNvPr id="3" name="Rechteck 2">
          <a:extLst>
            <a:ext uri="{FF2B5EF4-FFF2-40B4-BE49-F238E27FC236}">
              <a16:creationId xmlns:a16="http://schemas.microsoft.com/office/drawing/2014/main" id="{AA666E75-E7EC-4605-ACAB-3A03D66D1028}"/>
            </a:ext>
          </a:extLst>
        </xdr:cNvPr>
        <xdr:cNvSpPr/>
      </xdr:nvSpPr>
      <xdr:spPr>
        <a:xfrm>
          <a:off x="5875384" y="1804147"/>
          <a:ext cx="10597263" cy="2286000"/>
        </a:xfrm>
        <a:prstGeom prst="rect">
          <a:avLst/>
        </a:prstGeom>
        <a:solidFill>
          <a:srgbClr val="D9E1F2"/>
        </a:solidFill>
        <a:ln>
          <a:solidFill>
            <a:srgbClr val="00006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de-AT" sz="1100" b="1">
              <a:solidFill>
                <a:srgbClr val="000066"/>
              </a:solidFill>
              <a:effectLst/>
              <a:latin typeface="Calibri" panose="020F0502020204030204" pitchFamily="34" charset="0"/>
              <a:ea typeface="+mn-ea"/>
              <a:cs typeface="Calibri" panose="020F0502020204030204" pitchFamily="34" charset="0"/>
            </a:rPr>
            <a:t>Erläuterung: </a:t>
          </a:r>
          <a:br>
            <a:rPr lang="de-AT" sz="1100" b="1">
              <a:solidFill>
                <a:srgbClr val="000066"/>
              </a:solidFill>
              <a:effectLst/>
              <a:latin typeface="Calibri" panose="020F0502020204030204" pitchFamily="34" charset="0"/>
              <a:ea typeface="+mn-ea"/>
              <a:cs typeface="Calibri" panose="020F0502020204030204" pitchFamily="34" charset="0"/>
            </a:rPr>
          </a:br>
          <a:r>
            <a:rPr lang="de-AT" sz="1100">
              <a:solidFill>
                <a:srgbClr val="000066"/>
              </a:solidFill>
              <a:effectLst/>
              <a:latin typeface="Calibri" panose="020F0502020204030204" pitchFamily="34" charset="0"/>
              <a:ea typeface="+mn-ea"/>
              <a:cs typeface="Calibri" panose="020F0502020204030204" pitchFamily="34" charset="0"/>
            </a:rPr>
            <a:t>Diese Berechnungshilfe dient zur Berechnung der förderungsfähigen Kosten</a:t>
          </a:r>
          <a:r>
            <a:rPr lang="de-AT" sz="1100" baseline="0">
              <a:solidFill>
                <a:srgbClr val="000066"/>
              </a:solidFill>
              <a:effectLst/>
              <a:latin typeface="Calibri" panose="020F0502020204030204" pitchFamily="34" charset="0"/>
              <a:ea typeface="+mn-ea"/>
              <a:cs typeface="Calibri" panose="020F0502020204030204" pitchFamily="34" charset="0"/>
            </a:rPr>
            <a:t> für die Energiearten Heizöl, Holzpellets und Hackschnitzel</a:t>
          </a:r>
          <a:r>
            <a:rPr lang="de-AT" sz="1100">
              <a:solidFill>
                <a:srgbClr val="000066"/>
              </a:solidFill>
              <a:effectLst/>
              <a:latin typeface="Calibri" panose="020F0502020204030204" pitchFamily="34" charset="0"/>
              <a:ea typeface="+mn-ea"/>
              <a:cs typeface="Calibri" panose="020F0502020204030204" pitchFamily="34" charset="0"/>
            </a:rPr>
            <a:t>. </a:t>
          </a:r>
          <a:r>
            <a:rPr lang="de-AT" sz="1100" b="1">
              <a:solidFill>
                <a:srgbClr val="000066"/>
              </a:solidFill>
              <a:effectLst/>
              <a:latin typeface="Calibri" panose="020F0502020204030204" pitchFamily="34" charset="0"/>
              <a:ea typeface="+mn-ea"/>
              <a:cs typeface="Calibri" panose="020F0502020204030204" pitchFamily="34" charset="0"/>
            </a:rPr>
            <a:t>Es sind alle Felder,</a:t>
          </a:r>
          <a:r>
            <a:rPr lang="de-AT" sz="1100" b="1" baseline="0">
              <a:solidFill>
                <a:srgbClr val="000066"/>
              </a:solidFill>
              <a:effectLst/>
              <a:latin typeface="Calibri" panose="020F0502020204030204" pitchFamily="34" charset="0"/>
              <a:ea typeface="+mn-ea"/>
              <a:cs typeface="Calibri" panose="020F0502020204030204" pitchFamily="34" charset="0"/>
            </a:rPr>
            <a:t> </a:t>
          </a:r>
          <a:r>
            <a:rPr lang="de-AT" sz="1100" b="1">
              <a:solidFill>
                <a:srgbClr val="000066"/>
              </a:solidFill>
              <a:effectLst/>
              <a:latin typeface="Calibri" panose="020F0502020204030204" pitchFamily="34" charset="0"/>
              <a:ea typeface="+mn-ea"/>
              <a:cs typeface="Calibri" panose="020F0502020204030204" pitchFamily="34" charset="0"/>
            </a:rPr>
            <a:t>die benötigt werden, auszufüllen</a:t>
          </a:r>
          <a:r>
            <a:rPr lang="de-AT" sz="1100" b="1" baseline="0">
              <a:solidFill>
                <a:srgbClr val="000066"/>
              </a:solidFill>
              <a:effectLst/>
              <a:latin typeface="Calibri" panose="020F0502020204030204" pitchFamily="34" charset="0"/>
              <a:ea typeface="+mn-ea"/>
              <a:cs typeface="Calibri" panose="020F0502020204030204" pitchFamily="34" charset="0"/>
            </a:rPr>
            <a:t>. </a:t>
          </a:r>
          <a:br>
            <a:rPr lang="de-AT" sz="1100" baseline="0">
              <a:solidFill>
                <a:srgbClr val="000066"/>
              </a:solidFill>
              <a:effectLst/>
              <a:latin typeface="Calibri" panose="020F0502020204030204" pitchFamily="34" charset="0"/>
              <a:ea typeface="+mn-ea"/>
              <a:cs typeface="Calibri" panose="020F0502020204030204" pitchFamily="34" charset="0"/>
            </a:rPr>
          </a:br>
          <a:r>
            <a:rPr lang="de-AT" sz="1100" baseline="0">
              <a:solidFill>
                <a:srgbClr val="000066"/>
              </a:solidFill>
              <a:effectLst/>
              <a:latin typeface="Calibri" panose="020F0502020204030204" pitchFamily="34" charset="0"/>
              <a:ea typeface="+mn-ea"/>
              <a:cs typeface="Calibri" panose="020F0502020204030204" pitchFamily="34" charset="0"/>
            </a:rPr>
            <a:t>1) Zuerst ist mit JA/NEIN anzugeben, welche Energiearten beantragt werden bzw. ob es sich um ein Vorsteuerabzugsberechtigtes Unternehmen handelt.</a:t>
          </a:r>
          <a:br>
            <a:rPr lang="de-AT" sz="1100">
              <a:solidFill>
                <a:srgbClr val="000066"/>
              </a:solidFill>
              <a:latin typeface="Calibri" panose="020F0502020204030204" pitchFamily="34" charset="0"/>
              <a:cs typeface="Calibri" panose="020F0502020204030204" pitchFamily="34" charset="0"/>
            </a:rPr>
          </a:br>
          <a:r>
            <a:rPr lang="de-AT" sz="1100">
              <a:solidFill>
                <a:srgbClr val="000066"/>
              </a:solidFill>
              <a:latin typeface="Calibri" panose="020F0502020204030204" pitchFamily="34" charset="0"/>
              <a:cs typeface="Calibri" panose="020F0502020204030204" pitchFamily="34" charset="0"/>
            </a:rPr>
            <a:t>2) Bitte geben Sie</a:t>
          </a:r>
          <a:r>
            <a:rPr lang="de-AT" sz="1100" baseline="0">
              <a:solidFill>
                <a:srgbClr val="000066"/>
              </a:solidFill>
              <a:latin typeface="Calibri" panose="020F0502020204030204" pitchFamily="34" charset="0"/>
              <a:cs typeface="Calibri" panose="020F0502020204030204" pitchFamily="34" charset="0"/>
            </a:rPr>
            <a:t> im Bereich </a:t>
          </a:r>
          <a:r>
            <a:rPr lang="de-AT" sz="1100" b="1" baseline="0">
              <a:solidFill>
                <a:srgbClr val="000066"/>
              </a:solidFill>
              <a:latin typeface="Calibri" panose="020F0502020204030204" pitchFamily="34" charset="0"/>
              <a:cs typeface="Calibri" panose="020F0502020204030204" pitchFamily="34" charset="0"/>
            </a:rPr>
            <a:t>"Durchschnittspreisermittlung" </a:t>
          </a:r>
          <a:r>
            <a:rPr lang="de-AT" sz="1100" baseline="0">
              <a:solidFill>
                <a:srgbClr val="000066"/>
              </a:solidFill>
              <a:latin typeface="Calibri" panose="020F0502020204030204" pitchFamily="34" charset="0"/>
              <a:cs typeface="Calibri" panose="020F0502020204030204" pitchFamily="34" charset="0"/>
            </a:rPr>
            <a:t>jeweils die </a:t>
          </a:r>
          <a:r>
            <a:rPr lang="de-AT" sz="1100" b="1" baseline="0">
              <a:solidFill>
                <a:srgbClr val="000066"/>
              </a:solidFill>
              <a:latin typeface="Calibri" panose="020F0502020204030204" pitchFamily="34" charset="0"/>
              <a:cs typeface="Calibri" panose="020F0502020204030204" pitchFamily="34" charset="0"/>
            </a:rPr>
            <a:t>summierten Mengen bzw. summierten Nettorechnungsbeträge</a:t>
          </a:r>
          <a:r>
            <a:rPr lang="de-AT" sz="1100" baseline="0">
              <a:solidFill>
                <a:srgbClr val="000066"/>
              </a:solidFill>
              <a:latin typeface="Calibri" panose="020F0502020204030204" pitchFamily="34" charset="0"/>
              <a:cs typeface="Calibri" panose="020F0502020204030204" pitchFamily="34" charset="0"/>
            </a:rPr>
            <a:t> für den jeweiligen Rechnungszeitraum an. Achten Sie dabei auf die korrekten Mengeneinheiten Liter bzw. Tonnen. Sofern keine Rechnungen für den Vergleichszeitraum 2021 vorliegen, ist in Zeile 28-30 ein "NEIN" anzugeben.</a:t>
          </a:r>
        </a:p>
        <a:p>
          <a:r>
            <a:rPr lang="de-AT" sz="1100">
              <a:solidFill>
                <a:srgbClr val="000066"/>
              </a:solidFill>
              <a:latin typeface="Calibri" panose="020F0502020204030204" pitchFamily="34" charset="0"/>
              <a:cs typeface="Calibri" panose="020F0502020204030204" pitchFamily="34" charset="0"/>
            </a:rPr>
            <a:t>3) Unter</a:t>
          </a:r>
          <a:r>
            <a:rPr lang="de-AT" sz="1100" baseline="0">
              <a:solidFill>
                <a:srgbClr val="000066"/>
              </a:solidFill>
              <a:latin typeface="Calibri" panose="020F0502020204030204" pitchFamily="34" charset="0"/>
              <a:cs typeface="Calibri" panose="020F0502020204030204" pitchFamily="34" charset="0"/>
            </a:rPr>
            <a:t> </a:t>
          </a:r>
          <a:r>
            <a:rPr lang="de-AT" sz="1100" b="1" baseline="0">
              <a:solidFill>
                <a:srgbClr val="000066"/>
              </a:solidFill>
              <a:latin typeface="Calibri" panose="020F0502020204030204" pitchFamily="34" charset="0"/>
              <a:cs typeface="Calibri" panose="020F0502020204030204" pitchFamily="34" charset="0"/>
            </a:rPr>
            <a:t>"förderfähige Menge" </a:t>
          </a:r>
          <a:r>
            <a:rPr lang="de-AT" sz="1100" baseline="0">
              <a:solidFill>
                <a:srgbClr val="000066"/>
              </a:solidFill>
              <a:latin typeface="Calibri" panose="020F0502020204030204" pitchFamily="34" charset="0"/>
              <a:cs typeface="Calibri" panose="020F0502020204030204" pitchFamily="34" charset="0"/>
            </a:rPr>
            <a:t>ist zunächst die anzuwendende Berechnungsart hinsichtlich der förderfähigen Menge auszuwählen (entweder Verbrauchsermittlung auf Basis von "Inventurmethode" oder Verbrauchsermittlung auf "Basis Durchschnitt der Einkäufe aus den letzten 3 Jahren (2020-2022)". Je nach Auswahlart sind im unteren Bereich die Informationen bezüglich Inventur und/oder Einkäufen anzugeben.</a:t>
          </a:r>
          <a:br>
            <a:rPr lang="de-AT" sz="1100">
              <a:solidFill>
                <a:srgbClr val="000066"/>
              </a:solidFill>
              <a:latin typeface="Calibri" panose="020F0502020204030204" pitchFamily="34" charset="0"/>
              <a:cs typeface="Calibri" panose="020F0502020204030204" pitchFamily="34" charset="0"/>
            </a:rPr>
          </a:br>
          <a:br>
            <a:rPr lang="de-AT" sz="1100">
              <a:solidFill>
                <a:srgbClr val="000066"/>
              </a:solidFill>
              <a:latin typeface="Calibri" panose="020F0502020204030204" pitchFamily="34" charset="0"/>
              <a:cs typeface="Calibri" panose="020F0502020204030204" pitchFamily="34" charset="0"/>
            </a:rPr>
          </a:br>
          <a:r>
            <a:rPr lang="de-AT" sz="1100">
              <a:solidFill>
                <a:srgbClr val="000066"/>
              </a:solidFill>
              <a:latin typeface="Calibri" panose="020F0502020204030204" pitchFamily="34" charset="0"/>
              <a:cs typeface="Calibri" panose="020F0502020204030204" pitchFamily="34" charset="0"/>
            </a:rPr>
            <a:t>Achtung: Die Berechnungshilfe umfasst </a:t>
          </a:r>
          <a:r>
            <a:rPr lang="de-AT" sz="1100" b="1">
              <a:solidFill>
                <a:srgbClr val="000066"/>
              </a:solidFill>
              <a:latin typeface="Calibri" panose="020F0502020204030204" pitchFamily="34" charset="0"/>
              <a:cs typeface="Calibri" panose="020F0502020204030204" pitchFamily="34" charset="0"/>
            </a:rPr>
            <a:t>unter</a:t>
          </a:r>
          <a:r>
            <a:rPr lang="de-AT" sz="1100" b="1" baseline="0">
              <a:solidFill>
                <a:srgbClr val="000066"/>
              </a:solidFill>
              <a:latin typeface="Calibri" panose="020F0502020204030204" pitchFamily="34" charset="0"/>
              <a:cs typeface="Calibri" panose="020F0502020204030204" pitchFamily="34" charset="0"/>
            </a:rPr>
            <a:t> Heizöl ausschließlich "</a:t>
          </a:r>
          <a:r>
            <a:rPr lang="de-AT" sz="1100" b="1">
              <a:solidFill>
                <a:srgbClr val="000066"/>
              </a:solidFill>
              <a:latin typeface="Calibri" panose="020F0502020204030204" pitchFamily="34" charset="0"/>
              <a:cs typeface="Calibri" panose="020F0502020204030204" pitchFamily="34" charset="0"/>
            </a:rPr>
            <a:t>Extra Leichtes Heizöl (gekennzeichnetes Gasöl) mit einem Schwefelgehalt</a:t>
          </a:r>
          <a:r>
            <a:rPr lang="de-AT" sz="1100" b="1" baseline="0">
              <a:solidFill>
                <a:srgbClr val="000066"/>
              </a:solidFill>
              <a:latin typeface="Calibri" panose="020F0502020204030204" pitchFamily="34" charset="0"/>
              <a:cs typeface="Calibri" panose="020F0502020204030204" pitchFamily="34" charset="0"/>
            </a:rPr>
            <a:t> ≤ 10mg/kg</a:t>
          </a:r>
          <a:r>
            <a:rPr lang="de-AT" sz="1100" b="1">
              <a:solidFill>
                <a:srgbClr val="000066"/>
              </a:solidFill>
              <a:latin typeface="Calibri" panose="020F0502020204030204" pitchFamily="34" charset="0"/>
              <a:cs typeface="Calibri" panose="020F0502020204030204" pitchFamily="34" charset="0"/>
            </a:rPr>
            <a:t>".</a:t>
          </a:r>
          <a:r>
            <a:rPr lang="de-AT" sz="1100" b="1" baseline="0">
              <a:solidFill>
                <a:srgbClr val="000066"/>
              </a:solidFill>
              <a:latin typeface="Calibri" panose="020F0502020204030204" pitchFamily="34" charset="0"/>
              <a:cs typeface="Calibri" panose="020F0502020204030204" pitchFamily="34" charset="0"/>
            </a:rPr>
            <a:t> </a:t>
          </a:r>
        </a:p>
        <a:p>
          <a:r>
            <a:rPr lang="de-AT" sz="1100" baseline="0">
              <a:solidFill>
                <a:srgbClr val="000066"/>
              </a:solidFill>
              <a:latin typeface="Calibri" panose="020F0502020204030204" pitchFamily="34" charset="0"/>
              <a:cs typeface="Calibri" panose="020F0502020204030204" pitchFamily="34" charset="0"/>
            </a:rPr>
            <a:t>Andere Heizölsorten sind in dieser Berechnungshilfe nicht abbildbar, da hierfür gesonderte Mineralölsteuer-Sätze zur Anwendung kommen. </a:t>
          </a:r>
        </a:p>
        <a:p>
          <a:endParaRPr lang="de-AT" sz="1100">
            <a:latin typeface="Calibri" panose="020F0502020204030204" pitchFamily="34" charset="0"/>
            <a:cs typeface="Calibri" panose="020F0502020204030204" pitchFamily="34" charset="0"/>
          </a:endParaRPr>
        </a:p>
      </xdr:txBody>
    </xdr:sp>
    <xdr:clientData/>
  </xdr:twoCellAnchor>
  <xdr:twoCellAnchor editAs="oneCell">
    <xdr:from>
      <xdr:col>17</xdr:col>
      <xdr:colOff>694765</xdr:colOff>
      <xdr:row>0</xdr:row>
      <xdr:rowOff>97117</xdr:rowOff>
    </xdr:from>
    <xdr:to>
      <xdr:col>19</xdr:col>
      <xdr:colOff>1241289</xdr:colOff>
      <xdr:row>1</xdr:row>
      <xdr:rowOff>210277</xdr:rowOff>
    </xdr:to>
    <xdr:pic>
      <xdr:nvPicPr>
        <xdr:cNvPr id="4" name="Grafik 3" descr="aws Logo">
          <a:extLst>
            <a:ext uri="{FF2B5EF4-FFF2-40B4-BE49-F238E27FC236}">
              <a16:creationId xmlns:a16="http://schemas.microsoft.com/office/drawing/2014/main" id="{47F2AD38-98D5-40CF-80F0-FA108B5729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00" y="97117"/>
          <a:ext cx="2201185" cy="523968"/>
        </a:xfrm>
        <a:prstGeom prst="rect">
          <a:avLst/>
        </a:prstGeom>
      </xdr:spPr>
    </xdr:pic>
    <xdr:clientData/>
  </xdr:twoCellAnchor>
  <xdr:twoCellAnchor>
    <xdr:from>
      <xdr:col>14</xdr:col>
      <xdr:colOff>59690</xdr:colOff>
      <xdr:row>43</xdr:row>
      <xdr:rowOff>74083</xdr:rowOff>
    </xdr:from>
    <xdr:to>
      <xdr:col>18</xdr:col>
      <xdr:colOff>631190</xdr:colOff>
      <xdr:row>45</xdr:row>
      <xdr:rowOff>476250</xdr:rowOff>
    </xdr:to>
    <xdr:sp macro="" textlink="">
      <xdr:nvSpPr>
        <xdr:cNvPr id="2" name="Rechteck 1">
          <a:extLst>
            <a:ext uri="{FF2B5EF4-FFF2-40B4-BE49-F238E27FC236}">
              <a16:creationId xmlns:a16="http://schemas.microsoft.com/office/drawing/2014/main" id="{3FC2BEFB-D221-40DF-ABEC-A72518136414}"/>
            </a:ext>
          </a:extLst>
        </xdr:cNvPr>
        <xdr:cNvSpPr/>
      </xdr:nvSpPr>
      <xdr:spPr>
        <a:xfrm>
          <a:off x="11659023" y="11038416"/>
          <a:ext cx="3968750" cy="1460501"/>
        </a:xfrm>
        <a:prstGeom prst="rect">
          <a:avLst/>
        </a:prstGeom>
        <a:solidFill>
          <a:srgbClr val="D9E1F2"/>
        </a:solidFill>
        <a:ln>
          <a:solidFill>
            <a:srgbClr val="00006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de-AT" sz="1100">
              <a:latin typeface="Calibri" panose="020F0502020204030204" pitchFamily="34" charset="0"/>
              <a:cs typeface="Calibri" panose="020F0502020204030204" pitchFamily="34" charset="0"/>
            </a:rPr>
            <a:t> </a:t>
          </a:r>
        </a:p>
        <a:p>
          <a:r>
            <a:rPr lang="de-AT" sz="1200" b="1" u="sng">
              <a:solidFill>
                <a:srgbClr val="000066"/>
              </a:solidFill>
              <a:latin typeface="Calibri" panose="020F0502020204030204" pitchFamily="34" charset="0"/>
              <a:cs typeface="Calibri" panose="020F0502020204030204" pitchFamily="34" charset="0"/>
            </a:rPr>
            <a:t>Auswahloptionen - Berechnungsart förderfähige Menge:</a:t>
          </a:r>
        </a:p>
        <a:p>
          <a:endParaRPr lang="de-AT" sz="1100">
            <a:latin typeface="Calibri" panose="020F0502020204030204" pitchFamily="34" charset="0"/>
            <a:cs typeface="Calibri" panose="020F0502020204030204" pitchFamily="34" charset="0"/>
          </a:endParaRPr>
        </a:p>
        <a:p>
          <a:r>
            <a:rPr lang="de-AT" sz="1200" b="1">
              <a:solidFill>
                <a:srgbClr val="000066"/>
              </a:solidFill>
              <a:latin typeface="Calibri" panose="020F0502020204030204" pitchFamily="34" charset="0"/>
              <a:cs typeface="Calibri" panose="020F0502020204030204" pitchFamily="34" charset="0"/>
            </a:rPr>
            <a:t>    a) Durchschnitt Ø aus Inventurmethode</a:t>
          </a:r>
        </a:p>
        <a:p>
          <a:endParaRPr lang="de-AT" sz="1200" b="1">
            <a:solidFill>
              <a:srgbClr val="000066"/>
            </a:solidFill>
            <a:latin typeface="Calibri" panose="020F0502020204030204" pitchFamily="34" charset="0"/>
            <a:cs typeface="Calibri" panose="020F0502020204030204" pitchFamily="34" charset="0"/>
          </a:endParaRPr>
        </a:p>
        <a:p>
          <a:r>
            <a:rPr lang="de-AT" sz="1200" b="1">
              <a:solidFill>
                <a:srgbClr val="000066"/>
              </a:solidFill>
              <a:latin typeface="Calibri" panose="020F0502020204030204" pitchFamily="34" charset="0"/>
              <a:cs typeface="Calibri" panose="020F0502020204030204" pitchFamily="34" charset="0"/>
            </a:rPr>
            <a:t>    b) Durchschnitt Ø aus Einkäufen der letzten 3 Jahre</a:t>
          </a:r>
        </a:p>
      </xdr:txBody>
    </xdr:sp>
    <xdr:clientData/>
  </xdr:twoCellAnchor>
  <xdr:twoCellAnchor>
    <xdr:from>
      <xdr:col>17</xdr:col>
      <xdr:colOff>174836</xdr:colOff>
      <xdr:row>22</xdr:row>
      <xdr:rowOff>0</xdr:rowOff>
    </xdr:from>
    <xdr:to>
      <xdr:col>19</xdr:col>
      <xdr:colOff>874058</xdr:colOff>
      <xdr:row>25</xdr:row>
      <xdr:rowOff>22411</xdr:rowOff>
    </xdr:to>
    <xdr:sp macro="" textlink="">
      <xdr:nvSpPr>
        <xdr:cNvPr id="5" name="Rechteck 4">
          <a:extLst>
            <a:ext uri="{FF2B5EF4-FFF2-40B4-BE49-F238E27FC236}">
              <a16:creationId xmlns:a16="http://schemas.microsoft.com/office/drawing/2014/main" id="{553B0526-4E5D-4FF6-B970-21EAD1FB5D21}"/>
            </a:ext>
          </a:extLst>
        </xdr:cNvPr>
        <xdr:cNvSpPr/>
      </xdr:nvSpPr>
      <xdr:spPr>
        <a:xfrm>
          <a:off x="14417512" y="5681382"/>
          <a:ext cx="2402517" cy="862853"/>
        </a:xfrm>
        <a:prstGeom prst="rect">
          <a:avLst/>
        </a:prstGeom>
        <a:solidFill>
          <a:srgbClr val="D9E1F2"/>
        </a:solidFill>
        <a:ln>
          <a:solidFill>
            <a:srgbClr val="00006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de-AT" sz="1100" u="sng">
              <a:solidFill>
                <a:srgbClr val="000066"/>
              </a:solidFill>
              <a:latin typeface="Calibri" panose="020F0502020204030204" pitchFamily="34" charset="0"/>
              <a:cs typeface="Calibri" panose="020F0502020204030204" pitchFamily="34" charset="0"/>
            </a:rPr>
            <a:t>Hinweise:</a:t>
          </a:r>
        </a:p>
        <a:p>
          <a:r>
            <a:rPr lang="de-AT" sz="1100">
              <a:solidFill>
                <a:srgbClr val="000066"/>
              </a:solidFill>
              <a:latin typeface="Calibri" panose="020F0502020204030204" pitchFamily="34" charset="0"/>
              <a:cs typeface="Calibri" panose="020F0502020204030204" pitchFamily="34" charset="0"/>
            </a:rPr>
            <a:t>1 kg = 0,001</a:t>
          </a:r>
          <a:r>
            <a:rPr lang="de-AT" sz="1100" baseline="0">
              <a:solidFill>
                <a:srgbClr val="000066"/>
              </a:solidFill>
              <a:latin typeface="Calibri" panose="020F0502020204030204" pitchFamily="34" charset="0"/>
              <a:cs typeface="Calibri" panose="020F0502020204030204" pitchFamily="34" charset="0"/>
            </a:rPr>
            <a:t> Tonnen</a:t>
          </a:r>
        </a:p>
        <a:p>
          <a:endParaRPr lang="de-AT" sz="400" baseline="0">
            <a:solidFill>
              <a:srgbClr val="000066"/>
            </a:solidFill>
            <a:latin typeface="Calibri" panose="020F0502020204030204" pitchFamily="34" charset="0"/>
            <a:cs typeface="Calibri" panose="020F0502020204030204" pitchFamily="34" charset="0"/>
          </a:endParaRPr>
        </a:p>
        <a:p>
          <a:r>
            <a:rPr lang="de-AT" sz="1100" baseline="0">
              <a:solidFill>
                <a:srgbClr val="000066"/>
              </a:solidFill>
              <a:latin typeface="Calibri" panose="020F0502020204030204" pitchFamily="34" charset="0"/>
              <a:cs typeface="Calibri" panose="020F0502020204030204" pitchFamily="34" charset="0"/>
            </a:rPr>
            <a:t>ggf. bei Hackschnitzel Umrechnung von srm/m</a:t>
          </a:r>
          <a:r>
            <a:rPr lang="de-AT" sz="1200" baseline="0">
              <a:solidFill>
                <a:srgbClr val="000066"/>
              </a:solidFill>
              <a:latin typeface="Calibri" panose="020F0502020204030204" pitchFamily="34" charset="0"/>
              <a:cs typeface="Calibri" panose="020F0502020204030204" pitchFamily="34" charset="0"/>
            </a:rPr>
            <a:t>³</a:t>
          </a:r>
          <a:r>
            <a:rPr lang="de-AT" sz="1100" baseline="0">
              <a:solidFill>
                <a:srgbClr val="000066"/>
              </a:solidFill>
              <a:latin typeface="Calibri" panose="020F0502020204030204" pitchFamily="34" charset="0"/>
              <a:cs typeface="Calibri" panose="020F0502020204030204" pitchFamily="34" charset="0"/>
            </a:rPr>
            <a:t> in Tonnen notwendig!</a:t>
          </a:r>
          <a:endParaRPr lang="de-AT" sz="1100">
            <a:solidFill>
              <a:srgbClr val="000066"/>
            </a:solidFill>
            <a:latin typeface="Calibri" panose="020F0502020204030204" pitchFamily="34" charset="0"/>
            <a:cs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717176</xdr:colOff>
      <xdr:row>1</xdr:row>
      <xdr:rowOff>33618</xdr:rowOff>
    </xdr:from>
    <xdr:to>
      <xdr:col>24</xdr:col>
      <xdr:colOff>816356</xdr:colOff>
      <xdr:row>3</xdr:row>
      <xdr:rowOff>3399</xdr:rowOff>
    </xdr:to>
    <xdr:pic>
      <xdr:nvPicPr>
        <xdr:cNvPr id="3" name="Grafik 2" descr="aws Logo">
          <a:extLst>
            <a:ext uri="{FF2B5EF4-FFF2-40B4-BE49-F238E27FC236}">
              <a16:creationId xmlns:a16="http://schemas.microsoft.com/office/drawing/2014/main" id="{47C28A42-A2C2-4B04-9190-EEE6FCCE8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03588" y="224118"/>
          <a:ext cx="2385180" cy="5524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blImportFields" displayName="tblImportFields" ref="A1:B22" totalsRowShown="0" dataDxfId="8">
  <autoFilter ref="A1:B22" xr:uid="{00000000-0009-0000-0100-000007000000}"/>
  <tableColumns count="2">
    <tableColumn id="1" xr3:uid="{00000000-0010-0000-0000-000001000000}" name="Field" dataDxfId="7"/>
    <tableColumn id="2" xr3:uid="{00000000-0010-0000-0000-000002000000}" name="Value"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blValidation" displayName="tblValidation" ref="D1:E4" totalsRowShown="0" dataDxfId="5">
  <autoFilter ref="D1:E4" xr:uid="{00000000-0009-0000-0100-000008000000}"/>
  <tableColumns count="2">
    <tableColumn id="1" xr3:uid="{00000000-0010-0000-0100-000001000000}" name="Validation" dataDxfId="4"/>
    <tableColumn id="2" xr3:uid="{00000000-0010-0000-0100-000002000000}" name="Value"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4F8287-3386-4A7C-BD98-420704DFD423}" name="tbl_Energieart" displayName="tbl_Energieart" ref="A1:B4" totalsRowShown="0">
  <autoFilter ref="A1:B4" xr:uid="{574F8287-3386-4A7C-BD98-420704DFD423}"/>
  <tableColumns count="2">
    <tableColumn id="1" xr3:uid="{1E1549B7-FE95-4770-A96B-CF73E198A503}" name="Energieart"/>
    <tableColumn id="2" xr3:uid="{875C6A44-4035-4BAA-A86A-C91145A142CC}" name="Einheit"/>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D0F46EC-7CAD-40E5-9FB9-874357CE4384}" name="tbl_JaNein" displayName="tbl_JaNein" ref="D1:D3" totalsRowShown="0">
  <autoFilter ref="D1:D3" xr:uid="{1D0F46EC-7CAD-40E5-9FB9-874357CE4384}"/>
  <tableColumns count="1">
    <tableColumn id="1" xr3:uid="{214EB6FF-5DF6-4E56-A405-555706DD38C9}" name="JaNei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B4567C-2885-4BBE-8F7E-2EDB80E34CEC}" name="tbl_Treibstoffart" displayName="tbl_Treibstoffart" ref="F1:F3" totalsRowShown="0">
  <autoFilter ref="F1:F3" xr:uid="{4AB4567C-2885-4BBE-8F7E-2EDB80E34CEC}"/>
  <tableColumns count="1">
    <tableColumn id="1" xr3:uid="{F43337AA-C52B-4D49-9AD9-02F01E9DB2D0}" name="Treibstoffart"/>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552C5C-06A9-4475-8A1A-529B1657A0E9}" name="tbl_Heizöl" displayName="tbl_Heizöl" ref="M1:O3" totalsRowShown="0">
  <autoFilter ref="M1:O3" xr:uid="{32552C5C-06A9-4475-8A1A-529B1657A0E9}"/>
  <tableColumns count="3">
    <tableColumn id="1" xr3:uid="{54CF275C-5866-42EE-AA0A-B07F8ADC8C1F}" name="Heizölart"/>
    <tableColumn id="2" xr3:uid="{4ED28AF8-C702-47B6-86D2-2E19EE0D173F}" name="Details" dataDxfId="1"/>
    <tableColumn id="3" xr3:uid="{465C7F60-1C49-4039-9646-05CBF9329381}" name="MÖSt je l" dataDxfId="0"/>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52A728-9914-460B-9D29-1E5068FD6D6C}" name="tbl_Energieträger" displayName="tbl_Energieträger" ref="H1:I4" totalsRowShown="0">
  <autoFilter ref="H1:I4" xr:uid="{9D52A728-9914-460B-9D29-1E5068FD6D6C}"/>
  <tableColumns count="2">
    <tableColumn id="1" xr3:uid="{B00ADB31-9786-483E-9CF9-CD054BBBAB94}" name="Energieträger"/>
    <tableColumn id="2" xr3:uid="{1DBC86A3-401F-4B10-84BB-95C61203E6FF}" name="Einheit"/>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2BEE225-9D0E-451B-A8EA-743AA4DA5624}" name="tbl_Methoden" displayName="tbl_Methoden" ref="K1:K3" totalsRowShown="0">
  <autoFilter ref="K1:K3" xr:uid="{62BEE225-9D0E-451B-A8EA-743AA4DA5624}"/>
  <tableColumns count="1">
    <tableColumn id="1" xr3:uid="{C5213839-BA89-441F-8081-777FCEA305CF}" name="Methoden"/>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2E2EBDE-1E03-4A59-ADC2-D41FEE6FC972}" name="tab_EBITDA" displayName="tab_EBITDA" ref="Q1:Q3" totalsRowShown="0">
  <autoFilter ref="Q1:Q3" xr:uid="{72E2EBDE-1E03-4A59-ADC2-D41FEE6FC972}"/>
  <tableColumns count="1">
    <tableColumn id="1" xr3:uid="{4C2E9556-5E8D-4A71-A7E7-62E01FD1142E}" name="EBITDA"/>
  </tableColumns>
  <tableStyleInfo name="TableStyleLight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WS 2">
      <a:majorFont>
        <a:latin typeface="Arial Black"/>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dimension ref="K25"/>
  <sheetViews>
    <sheetView showGridLines="0" tabSelected="1" workbookViewId="0"/>
  </sheetViews>
  <sheetFormatPr baseColWidth="10" defaultColWidth="10.7109375" defaultRowHeight="15" x14ac:dyDescent="0.25"/>
  <sheetData>
    <row r="25" spans="11:11" x14ac:dyDescent="0.25">
      <c r="K25" s="103"/>
    </row>
  </sheetData>
  <sheetProtection algorithmName="SHA-512" hashValue="9HXMEvHcXtksFYya8ME/ZOweR1EFYXLK7IGd5iNva8jiEf5Uv/bgP1RY4nt4sACytk59W8DDjnknUSP5EVFstQ==" saltValue="TlliB/sy0wlLXYlLF/ElDQ==" spinCount="100000" sheet="1" objects="1" scenarios="1"/>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0E5C7-94FF-4CFA-8F6C-E8F48794FB8B}">
  <sheetPr codeName="Tabelle10">
    <tabColor rgb="FF7030A0"/>
  </sheetPr>
  <dimension ref="A1:M38"/>
  <sheetViews>
    <sheetView topLeftCell="A17" workbookViewId="0">
      <selection activeCell="B35" sqref="B35"/>
    </sheetView>
  </sheetViews>
  <sheetFormatPr baseColWidth="10" defaultColWidth="10.7109375" defaultRowHeight="15" x14ac:dyDescent="0.25"/>
  <cols>
    <col min="1" max="1" width="24.7109375" style="101" customWidth="1"/>
    <col min="2" max="2" width="21.42578125" style="101" customWidth="1"/>
    <col min="3" max="3" width="25.140625" style="101" customWidth="1"/>
    <col min="4" max="4" width="13.7109375" style="101" customWidth="1"/>
    <col min="5" max="5" width="25.140625" style="101" customWidth="1"/>
    <col min="6" max="6" width="10.7109375" style="101"/>
    <col min="7" max="7" width="19.140625" style="101" customWidth="1"/>
    <col min="8" max="8" width="10.7109375" style="101"/>
    <col min="9" max="9" width="14.5703125" style="101" customWidth="1"/>
    <col min="10" max="11" width="10.7109375" style="101"/>
    <col min="12" max="12" width="33.28515625" style="101" customWidth="1"/>
    <col min="13" max="13" width="20.7109375" style="101" customWidth="1"/>
    <col min="14" max="16384" width="10.7109375" style="101"/>
  </cols>
  <sheetData>
    <row r="1" spans="1:13" ht="16.5" thickTop="1" thickBot="1" x14ac:dyDescent="0.3">
      <c r="A1" s="101" t="s">
        <v>88</v>
      </c>
      <c r="B1" s="138">
        <v>2021</v>
      </c>
    </row>
    <row r="2" spans="1:13" ht="16.5" thickTop="1" thickBot="1" x14ac:dyDescent="0.3">
      <c r="A2" s="101" t="s">
        <v>89</v>
      </c>
      <c r="B2" s="138">
        <v>2023</v>
      </c>
    </row>
    <row r="3" spans="1:13" ht="16.5" thickTop="1" thickBot="1" x14ac:dyDescent="0.3">
      <c r="A3" s="101" t="s">
        <v>90</v>
      </c>
      <c r="B3" s="139">
        <v>44927</v>
      </c>
      <c r="C3" s="140" t="s">
        <v>103</v>
      </c>
      <c r="D3" s="141">
        <f>EOMONTH(par_FZ_SEW_Start,0)</f>
        <v>44957</v>
      </c>
      <c r="E3" s="140" t="s">
        <v>104</v>
      </c>
      <c r="F3" s="142">
        <f>EOMONTH(par_FZ_SEW_Start,0)+1</f>
        <v>44958</v>
      </c>
      <c r="G3" s="140" t="s">
        <v>105</v>
      </c>
      <c r="H3" s="142">
        <f>EOMONTH(par_FZ_SEW_Start,1)</f>
        <v>44985</v>
      </c>
      <c r="I3" s="140" t="s">
        <v>106</v>
      </c>
      <c r="J3" s="143">
        <f>par_FZ_SEW_Ende-par_FZ_SEW_Start</f>
        <v>180</v>
      </c>
    </row>
    <row r="4" spans="1:13" ht="16.5" thickTop="1" thickBot="1" x14ac:dyDescent="0.3">
      <c r="A4" s="101" t="s">
        <v>91</v>
      </c>
      <c r="B4" s="139">
        <v>45107</v>
      </c>
      <c r="C4" s="140" t="s">
        <v>103</v>
      </c>
      <c r="D4" s="142">
        <f>EOMONTH(par_FZ_SEW_Ende,0)</f>
        <v>45107</v>
      </c>
      <c r="E4" s="140" t="s">
        <v>104</v>
      </c>
      <c r="F4" s="142">
        <f>EOMONTH(par_FZ_SEW_Ende,0)+1</f>
        <v>45108</v>
      </c>
      <c r="G4" s="140" t="s">
        <v>105</v>
      </c>
      <c r="H4" s="142">
        <f>EOMONTH(par_FZ_SEW_Ende,1)</f>
        <v>45138</v>
      </c>
      <c r="I4" s="140" t="s">
        <v>107</v>
      </c>
      <c r="J4" s="144">
        <f>MONTH(par_FZ_SEW_Ende)-MONTH(par_FZ_SEW_Start)+1</f>
        <v>6</v>
      </c>
      <c r="K4" s="140" t="s">
        <v>112</v>
      </c>
      <c r="L4" s="143" t="str">
        <f>"von " &amp; TEXT(par_FZ_SEW_Start,"t. MMMM jjjj") &amp; " bis " &amp; TEXT(par_FZ_SEW_Ende,"t. MMMM jjjj")</f>
        <v>von 1. Jänner 2023 bis 30. Juni 2023</v>
      </c>
      <c r="M4" s="143" t="str">
        <f>TEXT(par_FZ_SEW_Start,"tt.MM.jjjj") &amp; "-" &amp; TEXT(par_FZ_SEW_Ende,"tt.MM.jjjj")</f>
        <v>01.01.2023-30.06.2023</v>
      </c>
    </row>
    <row r="5" spans="1:13" ht="16.5" thickTop="1" thickBot="1" x14ac:dyDescent="0.3">
      <c r="A5" s="101" t="s">
        <v>92</v>
      </c>
      <c r="B5" s="139">
        <v>44197</v>
      </c>
      <c r="C5" s="140" t="s">
        <v>103</v>
      </c>
      <c r="D5" s="142">
        <f>EOMONTH(par_VZ_SEW_Start,0)</f>
        <v>44227</v>
      </c>
      <c r="E5" s="140" t="s">
        <v>104</v>
      </c>
      <c r="F5" s="142">
        <f>EOMONTH(par_VZ_SEW_Start,0)+1</f>
        <v>44228</v>
      </c>
      <c r="G5" s="140" t="s">
        <v>105</v>
      </c>
      <c r="H5" s="142">
        <f>EOMONTH(par_VZ_SEW_Start,1)</f>
        <v>44255</v>
      </c>
      <c r="I5" s="140" t="s">
        <v>106</v>
      </c>
      <c r="J5" s="143">
        <f>par_VZ_SEW_Ende-par_VZ_SEW_Start</f>
        <v>364</v>
      </c>
    </row>
    <row r="6" spans="1:13" ht="16.5" thickTop="1" thickBot="1" x14ac:dyDescent="0.3">
      <c r="A6" s="101" t="s">
        <v>93</v>
      </c>
      <c r="B6" s="139">
        <v>44561</v>
      </c>
      <c r="C6" s="140" t="s">
        <v>103</v>
      </c>
      <c r="D6" s="142">
        <f>EOMONTH(par_VZ_SEW_Ende,0)</f>
        <v>44561</v>
      </c>
      <c r="E6" s="140" t="s">
        <v>104</v>
      </c>
      <c r="F6" s="142">
        <f>EOMONTH(par_VZ_SEW_Ende,0)+1</f>
        <v>44562</v>
      </c>
      <c r="G6" s="140" t="s">
        <v>105</v>
      </c>
      <c r="H6" s="142">
        <f>EOMONTH(par_VZ_SEW_Ende,1)</f>
        <v>44592</v>
      </c>
      <c r="I6" s="140" t="s">
        <v>107</v>
      </c>
      <c r="J6" s="144">
        <f>MONTH(par_VZ_SEW_Ende)-MONTH(par_VZ_SEW_Start)+1</f>
        <v>12</v>
      </c>
      <c r="K6" s="140" t="s">
        <v>112</v>
      </c>
      <c r="L6" s="143" t="str">
        <f>"von " &amp; TEXT(par_VZ_SEW_Start,"t. MMMM jjjj") &amp; " bis " &amp; TEXT(par_VZ_SEW_Ende,"t. MMMM jjjj")</f>
        <v>von 1. Jänner 2021 bis 31. Dezember 2021</v>
      </c>
      <c r="M6" s="143" t="str">
        <f>TEXT(par_VZ_SEW_Start,"tt.MM.jjjj") &amp; "-" &amp; TEXT(par_VZ_SEW_Ende,"tt.MM.jjjj")</f>
        <v>01.01.2021-31.12.2021</v>
      </c>
    </row>
    <row r="7" spans="1:13" ht="16.5" thickTop="1" thickBot="1" x14ac:dyDescent="0.3">
      <c r="A7" s="101" t="s">
        <v>94</v>
      </c>
      <c r="B7" s="147">
        <v>0.2</v>
      </c>
      <c r="C7" s="140" t="s">
        <v>113</v>
      </c>
      <c r="D7" s="143">
        <f>1+par_TS_Ust</f>
        <v>1.2</v>
      </c>
    </row>
    <row r="8" spans="1:13" ht="16.5" thickTop="1" thickBot="1" x14ac:dyDescent="0.3">
      <c r="A8" s="101" t="s">
        <v>214</v>
      </c>
      <c r="B8" s="163">
        <f>39.7/100</f>
        <v>0.39700000000000002</v>
      </c>
    </row>
    <row r="9" spans="1:13" ht="16.5" thickTop="1" thickBot="1" x14ac:dyDescent="0.3">
      <c r="A9" s="101" t="s">
        <v>215</v>
      </c>
      <c r="B9" s="163">
        <f>48.2/100</f>
        <v>0.48200000000000004</v>
      </c>
    </row>
    <row r="10" spans="1:13" ht="16.5" thickTop="1" thickBot="1" x14ac:dyDescent="0.3">
      <c r="A10" s="101" t="s">
        <v>216</v>
      </c>
      <c r="B10" s="163">
        <f>42.5/100</f>
        <v>0.42499999999999999</v>
      </c>
    </row>
    <row r="11" spans="1:13" ht="16.5" thickTop="1" thickBot="1" x14ac:dyDescent="0.3">
      <c r="A11" s="101" t="s">
        <v>217</v>
      </c>
      <c r="B11" s="163">
        <f>51.5/100</f>
        <v>0.51500000000000001</v>
      </c>
    </row>
    <row r="12" spans="1:13" ht="16.5" thickTop="1" thickBot="1" x14ac:dyDescent="0.3">
      <c r="A12" s="101" t="s">
        <v>95</v>
      </c>
      <c r="B12" s="146">
        <v>1000000</v>
      </c>
    </row>
    <row r="13" spans="1:13" ht="16.5" thickTop="1" thickBot="1" x14ac:dyDescent="0.3">
      <c r="A13" s="101" t="s">
        <v>96</v>
      </c>
      <c r="B13" s="147">
        <v>0.5</v>
      </c>
    </row>
    <row r="14" spans="1:13" ht="16.5" thickTop="1" thickBot="1" x14ac:dyDescent="0.3">
      <c r="A14" s="101" t="s">
        <v>97</v>
      </c>
      <c r="B14" s="146">
        <v>1000000</v>
      </c>
    </row>
    <row r="15" spans="1:13" ht="16.5" thickTop="1" thickBot="1" x14ac:dyDescent="0.3">
      <c r="A15" s="101" t="s">
        <v>98</v>
      </c>
      <c r="B15" s="147">
        <v>0.5</v>
      </c>
    </row>
    <row r="16" spans="1:13" ht="16.5" thickTop="1" thickBot="1" x14ac:dyDescent="0.3">
      <c r="A16" s="101" t="s">
        <v>99</v>
      </c>
      <c r="B16" s="146">
        <v>1000000</v>
      </c>
    </row>
    <row r="17" spans="1:4" ht="16.5" thickTop="1" thickBot="1" x14ac:dyDescent="0.3">
      <c r="A17" s="101" t="s">
        <v>100</v>
      </c>
      <c r="B17" s="147">
        <v>0.5</v>
      </c>
    </row>
    <row r="18" spans="1:4" ht="16.5" thickTop="1" thickBot="1" x14ac:dyDescent="0.3">
      <c r="A18" s="101" t="s">
        <v>192</v>
      </c>
      <c r="B18" s="148">
        <v>0.6</v>
      </c>
    </row>
    <row r="19" spans="1:4" ht="16.5" thickTop="1" thickBot="1" x14ac:dyDescent="0.3">
      <c r="A19" s="101" t="s">
        <v>101</v>
      </c>
      <c r="B19" s="147">
        <v>0.5</v>
      </c>
    </row>
    <row r="20" spans="1:4" ht="16.5" thickTop="1" thickBot="1" x14ac:dyDescent="0.3">
      <c r="A20" s="101" t="s">
        <v>238</v>
      </c>
      <c r="B20" s="147">
        <v>0.5</v>
      </c>
    </row>
    <row r="21" spans="1:4" ht="16.5" thickTop="1" thickBot="1" x14ac:dyDescent="0.3">
      <c r="A21" s="101" t="s">
        <v>102</v>
      </c>
      <c r="B21" s="149" t="s">
        <v>205</v>
      </c>
    </row>
    <row r="22" spans="1:4" ht="16.5" thickTop="1" thickBot="1" x14ac:dyDescent="0.3">
      <c r="A22" s="101" t="s">
        <v>108</v>
      </c>
      <c r="B22" s="138" t="s">
        <v>109</v>
      </c>
    </row>
    <row r="23" spans="1:4" ht="16.5" thickTop="1" thickBot="1" x14ac:dyDescent="0.3">
      <c r="A23" s="101" t="s">
        <v>110</v>
      </c>
      <c r="B23" s="150">
        <v>80000000</v>
      </c>
      <c r="C23" s="140" t="s">
        <v>111</v>
      </c>
      <c r="D23" s="142" t="str">
        <f>TEXT(par_EZ_Grenze,"0.." &amp; """" &amp; " Mio" &amp; """")</f>
        <v>80 Mio</v>
      </c>
    </row>
    <row r="24" spans="1:4" ht="16.5" thickTop="1" thickBot="1" x14ac:dyDescent="0.3">
      <c r="A24" s="101" t="s">
        <v>114</v>
      </c>
      <c r="B24" s="152">
        <v>1500</v>
      </c>
    </row>
    <row r="25" spans="1:4" ht="16.5" thickTop="1" thickBot="1" x14ac:dyDescent="0.3">
      <c r="A25" s="101" t="s">
        <v>115</v>
      </c>
      <c r="B25" s="152">
        <v>500</v>
      </c>
    </row>
    <row r="26" spans="1:4" ht="16.5" thickTop="1" thickBot="1" x14ac:dyDescent="0.3">
      <c r="A26" s="101" t="s">
        <v>117</v>
      </c>
      <c r="B26" s="152">
        <v>15000</v>
      </c>
    </row>
    <row r="27" spans="1:4" ht="16.5" thickTop="1" thickBot="1" x14ac:dyDescent="0.3">
      <c r="A27" s="101" t="s">
        <v>116</v>
      </c>
      <c r="B27" s="152">
        <v>2000000</v>
      </c>
    </row>
    <row r="28" spans="1:4" ht="16.5" thickTop="1" thickBot="1" x14ac:dyDescent="0.3">
      <c r="A28" s="101" t="s">
        <v>193</v>
      </c>
      <c r="B28" s="147">
        <v>0.2</v>
      </c>
    </row>
    <row r="29" spans="1:4" ht="16.5" thickTop="1" thickBot="1" x14ac:dyDescent="0.3">
      <c r="A29" s="101" t="s">
        <v>163</v>
      </c>
      <c r="B29" s="147">
        <v>0.13</v>
      </c>
    </row>
    <row r="30" spans="1:4" ht="16.5" thickTop="1" thickBot="1" x14ac:dyDescent="0.3">
      <c r="A30" s="101" t="s">
        <v>164</v>
      </c>
      <c r="B30" s="147">
        <v>0.13</v>
      </c>
    </row>
    <row r="31" spans="1:4" ht="16.5" thickTop="1" thickBot="1" x14ac:dyDescent="0.3">
      <c r="A31" s="101" t="s">
        <v>191</v>
      </c>
      <c r="B31" s="147">
        <v>1.62</v>
      </c>
    </row>
    <row r="32" spans="1:4" ht="16.5" thickTop="1" thickBot="1" x14ac:dyDescent="0.3">
      <c r="A32" s="101" t="s">
        <v>165</v>
      </c>
      <c r="B32" s="147">
        <v>1.87</v>
      </c>
    </row>
    <row r="33" spans="1:2" ht="16.5" thickTop="1" thickBot="1" x14ac:dyDescent="0.3">
      <c r="A33" s="101" t="s">
        <v>162</v>
      </c>
      <c r="B33" s="147">
        <v>1.24</v>
      </c>
    </row>
    <row r="34" spans="1:2" ht="16.5" thickTop="1" thickBot="1" x14ac:dyDescent="0.3">
      <c r="A34" s="101" t="s">
        <v>180</v>
      </c>
      <c r="B34" s="151">
        <v>125000</v>
      </c>
    </row>
    <row r="35" spans="1:2" ht="16.5" thickTop="1" thickBot="1" x14ac:dyDescent="0.3">
      <c r="A35" s="101" t="s">
        <v>187</v>
      </c>
      <c r="B35" s="145">
        <v>0.4</v>
      </c>
    </row>
    <row r="36" spans="1:2" ht="16.5" thickTop="1" thickBot="1" x14ac:dyDescent="0.3">
      <c r="A36" s="101" t="s">
        <v>188</v>
      </c>
      <c r="B36" s="145">
        <v>0.7</v>
      </c>
    </row>
    <row r="37" spans="1:2" ht="16.5" thickTop="1" thickBot="1" x14ac:dyDescent="0.3">
      <c r="A37" s="101" t="s">
        <v>189</v>
      </c>
      <c r="B37" s="151">
        <v>500000</v>
      </c>
    </row>
    <row r="38" spans="1:2" ht="15.75" thickTop="1" x14ac:dyDescent="0.25"/>
  </sheetData>
  <pageMargins left="0.7" right="0.7" top="0.78740157499999996" bottom="0.78740157499999996" header="0.3" footer="0.3"/>
  <pageSetup paperSize="9" orientation="portrait" r:id="rId1"/>
  <ignoredErrors>
    <ignoredError sqref="J5"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tabColor rgb="FF7030A0"/>
  </sheetPr>
  <dimension ref="A1:W4"/>
  <sheetViews>
    <sheetView topLeftCell="G1" workbookViewId="0">
      <selection activeCell="L10" sqref="L10"/>
    </sheetView>
  </sheetViews>
  <sheetFormatPr baseColWidth="10" defaultColWidth="11.42578125" defaultRowHeight="15" x14ac:dyDescent="0.25"/>
  <cols>
    <col min="6" max="6" width="13.28515625" customWidth="1"/>
    <col min="8" max="9" width="19.140625" customWidth="1"/>
    <col min="11" max="11" width="30.7109375" customWidth="1"/>
    <col min="13" max="13" width="17.7109375" customWidth="1"/>
    <col min="14" max="14" width="23.28515625" customWidth="1"/>
    <col min="15" max="15" width="10.7109375" customWidth="1"/>
    <col min="19" max="19" width="21.140625" customWidth="1"/>
  </cols>
  <sheetData>
    <row r="1" spans="1:23" x14ac:dyDescent="0.25">
      <c r="A1" t="s">
        <v>10</v>
      </c>
      <c r="B1" t="s">
        <v>168</v>
      </c>
      <c r="D1" t="s">
        <v>85</v>
      </c>
      <c r="F1" t="s">
        <v>86</v>
      </c>
      <c r="H1" t="s">
        <v>127</v>
      </c>
      <c r="I1" t="s">
        <v>168</v>
      </c>
      <c r="K1" t="s">
        <v>157</v>
      </c>
      <c r="M1" t="s">
        <v>154</v>
      </c>
      <c r="N1" t="s">
        <v>156</v>
      </c>
      <c r="O1" t="s">
        <v>155</v>
      </c>
      <c r="Q1" t="s">
        <v>183</v>
      </c>
      <c r="S1" t="s">
        <v>36</v>
      </c>
      <c r="T1" t="s">
        <v>9</v>
      </c>
      <c r="U1" t="s">
        <v>194</v>
      </c>
      <c r="V1" t="s">
        <v>194</v>
      </c>
      <c r="W1" t="s">
        <v>194</v>
      </c>
    </row>
    <row r="2" spans="1:23" x14ac:dyDescent="0.25">
      <c r="A2" t="s">
        <v>15</v>
      </c>
      <c r="B2" t="s">
        <v>13</v>
      </c>
      <c r="D2" t="s">
        <v>14</v>
      </c>
      <c r="F2" t="s">
        <v>35</v>
      </c>
      <c r="H2" t="s">
        <v>158</v>
      </c>
      <c r="I2" t="s">
        <v>178</v>
      </c>
      <c r="K2" t="s">
        <v>145</v>
      </c>
      <c r="M2" t="s">
        <v>129</v>
      </c>
      <c r="N2" s="87" t="s">
        <v>237</v>
      </c>
      <c r="O2" s="89">
        <v>9.8000000000000004E-2</v>
      </c>
      <c r="Q2" t="s">
        <v>184</v>
      </c>
      <c r="S2" t="s">
        <v>35</v>
      </c>
      <c r="T2" t="s">
        <v>14</v>
      </c>
      <c r="U2" t="s">
        <v>195</v>
      </c>
      <c r="V2" t="s">
        <v>195</v>
      </c>
      <c r="W2" t="s">
        <v>196</v>
      </c>
    </row>
    <row r="3" spans="1:23" x14ac:dyDescent="0.25">
      <c r="A3" t="s">
        <v>18</v>
      </c>
      <c r="B3" t="s">
        <v>13</v>
      </c>
      <c r="D3" t="s">
        <v>9</v>
      </c>
      <c r="F3" t="s">
        <v>36</v>
      </c>
      <c r="H3" t="s">
        <v>118</v>
      </c>
      <c r="I3" t="s">
        <v>179</v>
      </c>
      <c r="K3" t="s">
        <v>146</v>
      </c>
      <c r="M3" t="s">
        <v>160</v>
      </c>
      <c r="N3" s="87" t="s">
        <v>159</v>
      </c>
      <c r="O3" s="90">
        <v>0.128</v>
      </c>
      <c r="Q3" t="s">
        <v>185</v>
      </c>
      <c r="U3" t="s">
        <v>196</v>
      </c>
    </row>
    <row r="4" spans="1:23" x14ac:dyDescent="0.25">
      <c r="A4" t="s">
        <v>53</v>
      </c>
      <c r="B4" t="s">
        <v>13</v>
      </c>
      <c r="H4" t="s">
        <v>119</v>
      </c>
      <c r="I4" t="s">
        <v>179</v>
      </c>
    </row>
  </sheetData>
  <conditionalFormatting sqref="O2:O3">
    <cfRule type="expression" dxfId="2" priority="1">
      <formula>ISNUMBER(SEARCH("NEIN",$E$7))</formula>
    </cfRule>
  </conditionalFormatting>
  <pageMargins left="0.7" right="0.7" top="0.78740157499999996" bottom="0.78740157499999996" header="0.3" footer="0.3"/>
  <tableParts count="7">
    <tablePart r:id="rId1"/>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AD118"/>
  <sheetViews>
    <sheetView showGridLines="0" zoomScale="90" zoomScaleNormal="90" zoomScaleSheetLayoutView="40" workbookViewId="0">
      <selection activeCell="E9" sqref="E9:H9"/>
    </sheetView>
  </sheetViews>
  <sheetFormatPr baseColWidth="10" defaultColWidth="10.7109375" defaultRowHeight="16.5" x14ac:dyDescent="0.3"/>
  <cols>
    <col min="1" max="1" width="2.42578125" style="25" customWidth="1"/>
    <col min="2" max="2" width="38.7109375" style="34" customWidth="1"/>
    <col min="3" max="3" width="10.7109375" style="34"/>
    <col min="4" max="4" width="5.28515625" style="34" customWidth="1"/>
    <col min="5" max="5" width="3.28515625" style="34" customWidth="1"/>
    <col min="6" max="6" width="2.42578125" style="34" customWidth="1"/>
    <col min="7" max="7" width="2.7109375" style="34" customWidth="1"/>
    <col min="8" max="8" width="29.28515625" style="34" customWidth="1"/>
    <col min="9" max="9" width="10.7109375" style="34"/>
    <col min="10" max="10" width="12.42578125" style="34" customWidth="1"/>
    <col min="11" max="21" width="10.7109375" style="34"/>
    <col min="22" max="22" width="16.5703125" style="34" customWidth="1"/>
    <col min="23" max="23" width="11.85546875" style="34" customWidth="1"/>
    <col min="24" max="30" width="10.7109375" style="26"/>
    <col min="31" max="16384" width="10.7109375" style="34"/>
  </cols>
  <sheetData>
    <row r="1" spans="2:30" s="25" customFormat="1" x14ac:dyDescent="0.3">
      <c r="X1" s="26"/>
      <c r="Y1" s="26"/>
      <c r="Z1" s="26"/>
      <c r="AA1" s="26"/>
      <c r="AB1" s="26"/>
      <c r="AC1" s="26"/>
      <c r="AD1" s="26"/>
    </row>
    <row r="2" spans="2:30" s="25" customFormat="1" ht="27" x14ac:dyDescent="0.5">
      <c r="B2" s="83" t="s">
        <v>0</v>
      </c>
      <c r="X2" s="26"/>
      <c r="Y2" s="26"/>
      <c r="Z2" s="26"/>
      <c r="AA2" s="26"/>
      <c r="AB2" s="26"/>
      <c r="AC2" s="26"/>
      <c r="AD2" s="26"/>
    </row>
    <row r="3" spans="2:30" s="25" customFormat="1" ht="18.75" x14ac:dyDescent="0.3">
      <c r="B3" s="28" t="str">
        <f>"In vier Schritten zur Berechnung Ihres möglichen Zuschusses in der " &amp; par_EZ_Stufe &amp; " (für Unternehmen mit Energie-, Strom- und Treibstoffbeschaffungskosten bis EUR " &amp; par_EZ_Grenze_txt &amp; ".)"</f>
        <v>In vier Schritten zur Berechnung Ihres möglichen Zuschusses in der Basisstufe (für Unternehmen mit Energie-, Strom- und Treibstoffbeschaffungskosten bis EUR 80 Mio.)</v>
      </c>
      <c r="X3" s="26"/>
      <c r="Y3" s="26"/>
      <c r="Z3" s="26"/>
      <c r="AA3" s="26"/>
      <c r="AB3" s="26"/>
      <c r="AC3" s="26"/>
      <c r="AD3" s="26"/>
    </row>
    <row r="4" spans="2:30" s="25" customFormat="1" x14ac:dyDescent="0.3">
      <c r="B4" s="29"/>
      <c r="C4" s="64"/>
      <c r="X4" s="26"/>
      <c r="Y4" s="26"/>
      <c r="Z4" s="26"/>
      <c r="AA4" s="26"/>
      <c r="AB4" s="26"/>
      <c r="AC4" s="26"/>
      <c r="AD4" s="26"/>
    </row>
    <row r="5" spans="2:30" s="25" customFormat="1" ht="17.25" thickBot="1" x14ac:dyDescent="0.35">
      <c r="B5" s="29"/>
      <c r="X5" s="26"/>
      <c r="Y5" s="26"/>
      <c r="Z5" s="26"/>
      <c r="AA5" s="26"/>
      <c r="AB5" s="26"/>
      <c r="AC5" s="26"/>
      <c r="AD5" s="26"/>
    </row>
    <row r="6" spans="2:30" s="25" customFormat="1" ht="17.25" thickBot="1" x14ac:dyDescent="0.35">
      <c r="B6" s="104" t="s">
        <v>2</v>
      </c>
      <c r="C6" s="94"/>
      <c r="D6" s="94"/>
      <c r="E6" s="94"/>
      <c r="F6" s="94"/>
      <c r="G6" s="94"/>
      <c r="H6" s="236"/>
      <c r="I6" s="95"/>
      <c r="J6" s="95"/>
      <c r="K6" s="95"/>
      <c r="L6" s="94"/>
      <c r="M6" s="94"/>
      <c r="N6" s="94"/>
      <c r="O6" s="94"/>
      <c r="P6" s="94"/>
      <c r="Q6" s="94"/>
      <c r="R6" s="94"/>
      <c r="S6" s="94"/>
      <c r="T6" s="94"/>
      <c r="U6" s="94"/>
      <c r="V6" s="94"/>
      <c r="W6" s="94"/>
      <c r="X6" s="105"/>
      <c r="Y6" s="105"/>
      <c r="Z6" s="105"/>
      <c r="AA6" s="105"/>
      <c r="AB6" s="105"/>
      <c r="AC6" s="105"/>
      <c r="AD6" s="26"/>
    </row>
    <row r="7" spans="2:30" s="25" customFormat="1" x14ac:dyDescent="0.3">
      <c r="B7" s="104"/>
      <c r="C7" s="94"/>
      <c r="D7" s="94"/>
      <c r="E7" s="94"/>
      <c r="F7" s="94"/>
      <c r="G7" s="94"/>
      <c r="H7" s="106"/>
      <c r="I7" s="95"/>
      <c r="J7" s="95"/>
      <c r="K7" s="95"/>
      <c r="L7" s="94"/>
      <c r="M7" s="94"/>
      <c r="N7" s="94"/>
      <c r="O7" s="94"/>
      <c r="P7" s="94"/>
      <c r="Q7" s="94"/>
      <c r="R7" s="94"/>
      <c r="S7" s="94"/>
      <c r="T7" s="94"/>
      <c r="U7" s="94"/>
      <c r="V7" s="94"/>
      <c r="W7" s="94"/>
      <c r="X7" s="105"/>
      <c r="Y7" s="105"/>
      <c r="Z7" s="105"/>
      <c r="AA7" s="105"/>
      <c r="AB7" s="105"/>
      <c r="AC7" s="105"/>
      <c r="AD7" s="26"/>
    </row>
    <row r="8" spans="2:30" s="25" customFormat="1" ht="17.25" thickBot="1" x14ac:dyDescent="0.35">
      <c r="B8" s="107"/>
      <c r="C8" s="98"/>
      <c r="D8" s="98"/>
      <c r="E8" s="98"/>
      <c r="F8" s="98"/>
      <c r="G8" s="98"/>
      <c r="H8" s="98"/>
      <c r="I8" s="98"/>
      <c r="J8" s="98"/>
      <c r="K8" s="98"/>
      <c r="L8" s="98"/>
      <c r="M8" s="98"/>
      <c r="N8" s="98"/>
      <c r="O8" s="98"/>
      <c r="P8" s="98"/>
      <c r="Q8" s="98"/>
      <c r="R8" s="98"/>
      <c r="S8" s="98"/>
      <c r="T8" s="98"/>
      <c r="U8" s="98"/>
      <c r="V8" s="98"/>
      <c r="W8" s="98"/>
      <c r="X8" s="98"/>
      <c r="Y8" s="98"/>
      <c r="Z8" s="98"/>
      <c r="AA8" s="98"/>
      <c r="AB8" s="105"/>
      <c r="AC8" s="105"/>
      <c r="AD8" s="26"/>
    </row>
    <row r="9" spans="2:30" ht="17.25" thickBot="1" x14ac:dyDescent="0.35">
      <c r="B9" s="108" t="s">
        <v>3</v>
      </c>
      <c r="C9" s="108"/>
      <c r="D9" s="108"/>
      <c r="E9" s="298"/>
      <c r="F9" s="299"/>
      <c r="G9" s="299"/>
      <c r="H9" s="300"/>
      <c r="I9" s="33" t="s">
        <v>4</v>
      </c>
      <c r="J9" s="108" t="s">
        <v>5</v>
      </c>
      <c r="K9" s="108"/>
      <c r="L9" s="108"/>
      <c r="M9" s="108"/>
      <c r="N9" s="108"/>
      <c r="O9" s="108"/>
      <c r="P9" s="108"/>
      <c r="Q9" s="108"/>
      <c r="R9" s="108"/>
      <c r="S9" s="108"/>
      <c r="T9" s="108"/>
      <c r="U9" s="108"/>
      <c r="V9" s="108"/>
      <c r="W9" s="108"/>
      <c r="X9" s="108"/>
      <c r="Y9" s="108"/>
      <c r="Z9" s="108"/>
      <c r="AA9" s="108"/>
      <c r="AB9" s="105"/>
      <c r="AC9" s="105"/>
    </row>
    <row r="10" spans="2:30" x14ac:dyDescent="0.3">
      <c r="B10" s="108"/>
      <c r="C10" s="108"/>
      <c r="D10" s="108"/>
      <c r="E10" s="110"/>
      <c r="F10" s="97"/>
      <c r="G10" s="97"/>
      <c r="H10" s="97"/>
      <c r="I10" s="109"/>
      <c r="J10" s="108"/>
      <c r="K10" s="108"/>
      <c r="L10" s="108"/>
      <c r="M10" s="108"/>
      <c r="N10" s="108"/>
      <c r="O10" s="108"/>
      <c r="P10" s="108"/>
      <c r="Q10" s="108"/>
      <c r="R10" s="108"/>
      <c r="S10" s="108"/>
      <c r="T10" s="108"/>
      <c r="U10" s="108"/>
      <c r="V10" s="108"/>
      <c r="W10" s="108"/>
      <c r="X10" s="108"/>
      <c r="Y10" s="108"/>
      <c r="Z10" s="108"/>
      <c r="AA10" s="108"/>
      <c r="AB10" s="105"/>
      <c r="AC10" s="105"/>
    </row>
    <row r="11" spans="2:30" x14ac:dyDescent="0.3">
      <c r="B11" s="111"/>
      <c r="C11" s="111"/>
      <c r="D11" s="111"/>
      <c r="E11" s="112"/>
      <c r="F11" s="113"/>
      <c r="G11" s="113"/>
      <c r="H11" s="113"/>
      <c r="I11" s="114"/>
      <c r="J11" s="111"/>
      <c r="K11" s="111"/>
      <c r="L11" s="111"/>
      <c r="M11" s="111"/>
      <c r="N11" s="111"/>
      <c r="O11" s="111"/>
      <c r="P11" s="111"/>
      <c r="Q11" s="111"/>
      <c r="R11" s="111"/>
      <c r="S11" s="111"/>
      <c r="T11" s="111"/>
      <c r="U11" s="111"/>
      <c r="V11" s="111"/>
      <c r="W11" s="111"/>
      <c r="X11" s="111"/>
      <c r="Y11" s="111"/>
      <c r="Z11" s="111"/>
      <c r="AA11" s="111"/>
      <c r="AB11" s="105"/>
      <c r="AC11" s="105"/>
    </row>
    <row r="12" spans="2:30" ht="18.75" x14ac:dyDescent="0.4">
      <c r="B12" s="82" t="str">
        <f>"Schritt 1: Berechnung des Durchschnittsarbeitspreises in der Vergleichsperiode " &amp; par_Jahr1</f>
        <v>Schritt 1: Berechnung des Durchschnittsarbeitspreises in der Vergleichsperiode 2021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5"/>
      <c r="AC12" s="105"/>
    </row>
    <row r="13" spans="2:30" x14ac:dyDescent="0.3">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5"/>
      <c r="AC13" s="105"/>
    </row>
    <row r="14" spans="2:30" x14ac:dyDescent="0.3">
      <c r="B14" s="108" t="s">
        <v>250</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5"/>
      <c r="AC14" s="105"/>
    </row>
    <row r="15" spans="2:30" x14ac:dyDescent="0.3">
      <c r="B15" s="108" t="s">
        <v>199</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5"/>
      <c r="AC15" s="105"/>
    </row>
    <row r="16" spans="2:30" ht="17.25" thickBot="1" x14ac:dyDescent="0.3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05"/>
      <c r="AC16" s="105"/>
    </row>
    <row r="17" spans="2:29" x14ac:dyDescent="0.3">
      <c r="B17" s="108"/>
      <c r="C17" s="108"/>
      <c r="D17" s="108"/>
      <c r="E17" s="108"/>
      <c r="F17" s="108"/>
      <c r="G17" s="108"/>
      <c r="H17" s="116"/>
      <c r="I17" s="116"/>
      <c r="J17" s="109"/>
      <c r="K17" s="108"/>
      <c r="L17" s="108"/>
      <c r="M17" s="108"/>
      <c r="N17" s="108"/>
      <c r="O17" s="108"/>
      <c r="P17" s="108"/>
      <c r="Q17" s="108"/>
      <c r="R17" s="108"/>
      <c r="S17" s="108"/>
      <c r="T17" s="108"/>
      <c r="U17" s="108"/>
      <c r="V17" s="108"/>
      <c r="W17" s="108"/>
      <c r="X17" s="117"/>
      <c r="Y17" s="108"/>
      <c r="Z17" s="108"/>
      <c r="AA17" s="108"/>
      <c r="AB17" s="105"/>
      <c r="AC17" s="105"/>
    </row>
    <row r="18" spans="2:29" ht="18.75" x14ac:dyDescent="0.4">
      <c r="B18" s="82" t="s">
        <v>15</v>
      </c>
      <c r="C18" s="108"/>
      <c r="D18" s="108"/>
      <c r="E18" s="108"/>
      <c r="F18" s="108"/>
      <c r="G18" s="108"/>
      <c r="H18" s="116"/>
      <c r="I18" s="116"/>
      <c r="J18" s="109"/>
      <c r="K18" s="108"/>
      <c r="L18" s="108"/>
      <c r="M18" s="108"/>
      <c r="N18" s="108"/>
      <c r="O18" s="108"/>
      <c r="P18" s="108"/>
      <c r="Q18" s="108"/>
      <c r="R18" s="108"/>
      <c r="S18" s="108"/>
      <c r="T18" s="108"/>
      <c r="U18" s="108"/>
      <c r="V18" s="108"/>
      <c r="W18" s="108"/>
      <c r="X18" s="117"/>
      <c r="Y18" s="108"/>
      <c r="Z18" s="108"/>
      <c r="AA18" s="108"/>
      <c r="AB18" s="105"/>
      <c r="AC18" s="105"/>
    </row>
    <row r="19" spans="2:29" x14ac:dyDescent="0.3">
      <c r="B19" s="108" t="s">
        <v>16</v>
      </c>
      <c r="C19" s="108"/>
      <c r="D19" s="108"/>
      <c r="E19" s="108"/>
      <c r="F19" s="108"/>
      <c r="G19" s="108"/>
      <c r="H19" s="126">
        <f>SUMIFS(H:H,B:B,"Nettorechnungsbetrag (" &amp;B18 &amp; ")")</f>
        <v>0</v>
      </c>
      <c r="I19" s="127" t="s">
        <v>12</v>
      </c>
      <c r="J19" s="129"/>
      <c r="K19" s="117"/>
      <c r="L19" s="117"/>
      <c r="M19" s="117"/>
      <c r="N19" s="117"/>
      <c r="O19" s="117"/>
      <c r="P19" s="117"/>
      <c r="Q19" s="117"/>
      <c r="R19" s="117"/>
      <c r="S19" s="117"/>
      <c r="T19" s="117"/>
      <c r="U19" s="117"/>
      <c r="V19" s="117"/>
      <c r="W19" s="117"/>
      <c r="X19" s="117"/>
      <c r="Y19" s="117"/>
      <c r="Z19" s="117"/>
      <c r="AA19" s="117"/>
      <c r="AB19" s="105"/>
      <c r="AC19" s="105"/>
    </row>
    <row r="20" spans="2:29" x14ac:dyDescent="0.3">
      <c r="B20" s="108" t="str">
        <f>B18&amp;"verbrauch aller Zählpunkte in " &amp; VLOOKUP(B18,tbl_Energieart[],2,0) &amp; " im Gesamtjahr"</f>
        <v>Stromverbrauch aller Zählpunkte in kWh im Gesamtjahr</v>
      </c>
      <c r="C20" s="108"/>
      <c r="D20" s="108"/>
      <c r="E20" s="108"/>
      <c r="F20" s="108"/>
      <c r="G20" s="108"/>
      <c r="H20" s="126">
        <f>SUMIFS(H:H,B:B,B18 &amp; "verbrauch in kWh*")</f>
        <v>0</v>
      </c>
      <c r="I20" s="127" t="s">
        <v>13</v>
      </c>
      <c r="J20" s="117"/>
      <c r="K20" s="117"/>
      <c r="L20" s="117"/>
      <c r="M20" s="117"/>
      <c r="N20" s="117"/>
      <c r="O20" s="117"/>
      <c r="P20" s="117"/>
      <c r="Q20" s="117"/>
      <c r="R20" s="117"/>
      <c r="S20" s="117"/>
      <c r="T20" s="117"/>
      <c r="U20" s="117"/>
      <c r="V20" s="117"/>
      <c r="W20" s="117"/>
      <c r="X20" s="117"/>
      <c r="Y20" s="117"/>
      <c r="Z20" s="117"/>
      <c r="AA20" s="117"/>
      <c r="AB20" s="105"/>
      <c r="AC20" s="105"/>
    </row>
    <row r="21" spans="2:29" x14ac:dyDescent="0.3">
      <c r="B21" s="108" t="s">
        <v>17</v>
      </c>
      <c r="C21" s="108"/>
      <c r="D21" s="108"/>
      <c r="E21" s="108"/>
      <c r="F21" s="108"/>
      <c r="G21" s="108"/>
      <c r="H21" s="128">
        <f>IFERROR(ROUND(H19/H20,4),0)</f>
        <v>0</v>
      </c>
      <c r="I21" s="127" t="s">
        <v>12</v>
      </c>
      <c r="J21" s="130" t="s">
        <v>201</v>
      </c>
      <c r="K21" s="131" t="s">
        <v>204</v>
      </c>
      <c r="L21" s="117"/>
      <c r="M21" s="117"/>
      <c r="N21" s="117"/>
      <c r="O21" s="117"/>
      <c r="P21" s="117"/>
      <c r="Q21" s="117"/>
      <c r="R21" s="117"/>
      <c r="S21" s="117"/>
      <c r="T21" s="117"/>
      <c r="U21" s="117"/>
      <c r="V21" s="117"/>
      <c r="W21" s="117"/>
      <c r="X21" s="117"/>
      <c r="Y21" s="117"/>
      <c r="Z21" s="117"/>
      <c r="AA21" s="117" t="str">
        <f>IF(H21&gt;=1,"JA","NEIN")</f>
        <v>NEIN</v>
      </c>
      <c r="AB21" s="105"/>
      <c r="AC21" s="105"/>
    </row>
    <row r="22" spans="2:29" x14ac:dyDescent="0.3">
      <c r="B22" s="108"/>
      <c r="C22" s="108"/>
      <c r="D22" s="108"/>
      <c r="E22" s="108"/>
      <c r="F22" s="108"/>
      <c r="G22" s="108"/>
      <c r="H22" s="118"/>
      <c r="I22" s="119"/>
      <c r="J22" s="117"/>
      <c r="K22" s="117"/>
      <c r="L22" s="117"/>
      <c r="M22" s="117"/>
      <c r="N22" s="117"/>
      <c r="O22" s="117"/>
      <c r="P22" s="117"/>
      <c r="Q22" s="117"/>
      <c r="R22" s="117"/>
      <c r="S22" s="117"/>
      <c r="T22" s="117"/>
      <c r="U22" s="117"/>
      <c r="V22" s="117"/>
      <c r="W22" s="117"/>
      <c r="X22" s="117"/>
      <c r="Y22" s="117"/>
      <c r="Z22" s="117"/>
      <c r="AA22" s="117"/>
      <c r="AB22" s="105"/>
      <c r="AC22" s="105"/>
    </row>
    <row r="23" spans="2:29" ht="18.75" x14ac:dyDescent="0.4">
      <c r="B23" s="82" t="s">
        <v>18</v>
      </c>
      <c r="C23" s="108"/>
      <c r="D23" s="108"/>
      <c r="E23" s="108"/>
      <c r="F23" s="108"/>
      <c r="G23" s="108"/>
      <c r="H23" s="118"/>
      <c r="I23" s="119"/>
      <c r="J23" s="117"/>
      <c r="K23" s="117"/>
      <c r="L23" s="117"/>
      <c r="M23" s="117"/>
      <c r="N23" s="117"/>
      <c r="O23" s="117"/>
      <c r="P23" s="117"/>
      <c r="Q23" s="117"/>
      <c r="R23" s="117"/>
      <c r="S23" s="117"/>
      <c r="T23" s="117"/>
      <c r="U23" s="117"/>
      <c r="V23" s="117"/>
      <c r="W23" s="117"/>
      <c r="X23" s="117"/>
      <c r="Y23" s="117"/>
      <c r="Z23" s="117"/>
      <c r="AA23" s="117"/>
      <c r="AB23" s="105"/>
      <c r="AC23" s="105"/>
    </row>
    <row r="24" spans="2:29" x14ac:dyDescent="0.3">
      <c r="B24" s="108" t="s">
        <v>16</v>
      </c>
      <c r="C24" s="108"/>
      <c r="D24" s="108"/>
      <c r="E24" s="108"/>
      <c r="F24" s="108"/>
      <c r="G24" s="108"/>
      <c r="H24" s="126">
        <f>SUMIFS(H:H,B:B,"Nettorechnungsbetrag (" &amp;B23 &amp; ")")</f>
        <v>0</v>
      </c>
      <c r="I24" s="127" t="s">
        <v>12</v>
      </c>
      <c r="J24" s="129"/>
      <c r="K24" s="117"/>
      <c r="L24" s="117"/>
      <c r="M24" s="117"/>
      <c r="N24" s="117"/>
      <c r="O24" s="117"/>
      <c r="P24" s="117"/>
      <c r="Q24" s="117"/>
      <c r="R24" s="117"/>
      <c r="S24" s="117"/>
      <c r="T24" s="117"/>
      <c r="U24" s="117"/>
      <c r="V24" s="117"/>
      <c r="W24" s="117"/>
      <c r="X24" s="117"/>
      <c r="Y24" s="117"/>
      <c r="Z24" s="117"/>
      <c r="AA24" s="117"/>
      <c r="AB24" s="105"/>
      <c r="AC24" s="105"/>
    </row>
    <row r="25" spans="2:29" x14ac:dyDescent="0.3">
      <c r="B25" s="108" t="str">
        <f>B23&amp;"verbrauch aller Zählpunkte in " &amp; VLOOKUP(B23,tbl_Energieart[],2,0) &amp; " im Gesamtjahr"</f>
        <v>Erdgasverbrauch aller Zählpunkte in kWh im Gesamtjahr</v>
      </c>
      <c r="C25" s="108"/>
      <c r="D25" s="108"/>
      <c r="E25" s="108"/>
      <c r="F25" s="108"/>
      <c r="G25" s="108"/>
      <c r="H25" s="126">
        <f>SUMIFS(H:H,B:B,B23 &amp; "verbrauch in kWh*")</f>
        <v>0</v>
      </c>
      <c r="I25" s="127" t="s">
        <v>13</v>
      </c>
      <c r="J25" s="117"/>
      <c r="K25" s="117"/>
      <c r="L25" s="117"/>
      <c r="M25" s="117"/>
      <c r="N25" s="117"/>
      <c r="O25" s="117"/>
      <c r="P25" s="117"/>
      <c r="Q25" s="117"/>
      <c r="R25" s="117"/>
      <c r="S25" s="117"/>
      <c r="T25" s="117"/>
      <c r="U25" s="117"/>
      <c r="V25" s="117"/>
      <c r="W25" s="117"/>
      <c r="X25" s="117"/>
      <c r="Y25" s="117"/>
      <c r="Z25" s="117"/>
      <c r="AA25" s="117"/>
      <c r="AB25" s="105"/>
      <c r="AC25" s="105"/>
    </row>
    <row r="26" spans="2:29" x14ac:dyDescent="0.3">
      <c r="B26" s="108" t="s">
        <v>17</v>
      </c>
      <c r="C26" s="108"/>
      <c r="D26" s="108"/>
      <c r="E26" s="108"/>
      <c r="F26" s="108"/>
      <c r="G26" s="108"/>
      <c r="H26" s="128">
        <f>IFERROR(ROUND(H24/H25,4),0)</f>
        <v>0</v>
      </c>
      <c r="I26" s="127" t="s">
        <v>12</v>
      </c>
      <c r="J26" s="130" t="s">
        <v>201</v>
      </c>
      <c r="K26" s="131" t="s">
        <v>204</v>
      </c>
      <c r="L26" s="117"/>
      <c r="M26" s="117"/>
      <c r="N26" s="117"/>
      <c r="O26" s="117"/>
      <c r="P26" s="117"/>
      <c r="Q26" s="117"/>
      <c r="R26" s="117"/>
      <c r="S26" s="117"/>
      <c r="T26" s="117"/>
      <c r="U26" s="117"/>
      <c r="V26" s="117"/>
      <c r="W26" s="117"/>
      <c r="X26" s="117"/>
      <c r="Y26" s="117"/>
      <c r="Z26" s="117"/>
      <c r="AA26" s="117" t="str">
        <f>IF(H26&gt;=1,"JA","NEIN")</f>
        <v>NEIN</v>
      </c>
      <c r="AB26" s="105"/>
      <c r="AC26" s="105"/>
    </row>
    <row r="27" spans="2:29" x14ac:dyDescent="0.3">
      <c r="B27" s="108"/>
      <c r="C27" s="108"/>
      <c r="D27" s="108"/>
      <c r="E27" s="108"/>
      <c r="F27" s="108"/>
      <c r="G27" s="108"/>
      <c r="H27" s="108"/>
      <c r="I27" s="108"/>
      <c r="J27" s="117"/>
      <c r="K27" s="117"/>
      <c r="L27" s="117"/>
      <c r="M27" s="117"/>
      <c r="N27" s="117"/>
      <c r="O27" s="117"/>
      <c r="P27" s="117"/>
      <c r="Q27" s="117"/>
      <c r="R27" s="117"/>
      <c r="S27" s="117"/>
      <c r="T27" s="117"/>
      <c r="U27" s="117"/>
      <c r="V27" s="117"/>
      <c r="W27" s="117"/>
      <c r="X27" s="117"/>
      <c r="Y27" s="117"/>
      <c r="Z27" s="117"/>
      <c r="AA27" s="117"/>
      <c r="AB27" s="105"/>
      <c r="AC27" s="105"/>
    </row>
    <row r="28" spans="2:29" ht="18.75" x14ac:dyDescent="0.4">
      <c r="B28" s="82" t="s">
        <v>53</v>
      </c>
      <c r="C28" s="108"/>
      <c r="D28" s="108"/>
      <c r="E28" s="108"/>
      <c r="F28" s="108"/>
      <c r="G28" s="108"/>
      <c r="H28" s="118"/>
      <c r="I28" s="119"/>
      <c r="J28" s="117"/>
      <c r="K28" s="117"/>
      <c r="L28" s="117"/>
      <c r="M28" s="117"/>
      <c r="N28" s="117"/>
      <c r="O28" s="117"/>
      <c r="P28" s="117"/>
      <c r="Q28" s="117"/>
      <c r="R28" s="117"/>
      <c r="S28" s="117"/>
      <c r="T28" s="117"/>
      <c r="U28" s="117"/>
      <c r="V28" s="117"/>
      <c r="W28" s="117"/>
      <c r="X28" s="117"/>
      <c r="Y28" s="117"/>
      <c r="Z28" s="117"/>
      <c r="AA28" s="117"/>
      <c r="AB28" s="105"/>
      <c r="AC28" s="105"/>
    </row>
    <row r="29" spans="2:29" x14ac:dyDescent="0.3">
      <c r="B29" s="108" t="s">
        <v>16</v>
      </c>
      <c r="C29" s="108"/>
      <c r="D29" s="108"/>
      <c r="E29" s="108"/>
      <c r="F29" s="108"/>
      <c r="G29" s="108"/>
      <c r="H29" s="126">
        <f>SUMIFS(H:H,B:B,"Nettorechnungsbetrag (" &amp;B28 &amp; ")")</f>
        <v>0</v>
      </c>
      <c r="I29" s="127" t="s">
        <v>12</v>
      </c>
      <c r="J29" s="117"/>
      <c r="K29" s="117"/>
      <c r="L29" s="117"/>
      <c r="M29" s="117"/>
      <c r="N29" s="117"/>
      <c r="O29" s="117"/>
      <c r="P29" s="117"/>
      <c r="Q29" s="117"/>
      <c r="R29" s="117"/>
      <c r="S29" s="117"/>
      <c r="T29" s="117"/>
      <c r="U29" s="117"/>
      <c r="V29" s="117"/>
      <c r="W29" s="117"/>
      <c r="X29" s="117"/>
      <c r="Y29" s="117"/>
      <c r="Z29" s="117"/>
      <c r="AA29" s="117"/>
      <c r="AB29" s="105"/>
      <c r="AC29" s="105"/>
    </row>
    <row r="30" spans="2:29" x14ac:dyDescent="0.3">
      <c r="B30" s="108" t="str">
        <f>B28&amp;"verbrauch aller Zählpunkte in " &amp; VLOOKUP(B28,tbl_Energieart[],2,0) &amp; " im Gesamtjahr"</f>
        <v>Wärme/Kälteverbrauch aller Zählpunkte in kWh im Gesamtjahr</v>
      </c>
      <c r="C30" s="108"/>
      <c r="D30" s="108"/>
      <c r="E30" s="108"/>
      <c r="F30" s="108"/>
      <c r="G30" s="108"/>
      <c r="H30" s="126">
        <f>SUMIFS(H:H,B:B,B28 &amp; "verbrauch in kWh*")</f>
        <v>0</v>
      </c>
      <c r="I30" s="127" t="s">
        <v>13</v>
      </c>
      <c r="J30" s="117"/>
      <c r="K30" s="117"/>
      <c r="L30" s="117"/>
      <c r="M30" s="117"/>
      <c r="N30" s="117"/>
      <c r="O30" s="117"/>
      <c r="P30" s="117"/>
      <c r="Q30" s="117"/>
      <c r="R30" s="117"/>
      <c r="S30" s="117"/>
      <c r="T30" s="117"/>
      <c r="U30" s="117"/>
      <c r="V30" s="117"/>
      <c r="W30" s="117"/>
      <c r="X30" s="117"/>
      <c r="Y30" s="117"/>
      <c r="Z30" s="117"/>
      <c r="AA30" s="117"/>
      <c r="AB30" s="105"/>
      <c r="AC30" s="105"/>
    </row>
    <row r="31" spans="2:29" x14ac:dyDescent="0.3">
      <c r="B31" s="108" t="s">
        <v>17</v>
      </c>
      <c r="C31" s="108"/>
      <c r="D31" s="108"/>
      <c r="E31" s="108"/>
      <c r="F31" s="108"/>
      <c r="G31" s="108"/>
      <c r="H31" s="128">
        <f>IFERROR(ROUND(H29/H30,4),0)</f>
        <v>0</v>
      </c>
      <c r="I31" s="127" t="s">
        <v>12</v>
      </c>
      <c r="J31" s="130" t="s">
        <v>201</v>
      </c>
      <c r="K31" s="131" t="s">
        <v>204</v>
      </c>
      <c r="L31" s="117"/>
      <c r="M31" s="117"/>
      <c r="N31" s="117"/>
      <c r="O31" s="117"/>
      <c r="P31" s="117"/>
      <c r="Q31" s="117"/>
      <c r="R31" s="117"/>
      <c r="S31" s="117"/>
      <c r="T31" s="117"/>
      <c r="U31" s="117"/>
      <c r="V31" s="117"/>
      <c r="W31" s="117"/>
      <c r="X31" s="117"/>
      <c r="Y31" s="117"/>
      <c r="Z31" s="117"/>
      <c r="AA31" s="117" t="str">
        <f>IF(H31&gt;=1,"JA","NEIN")</f>
        <v>NEIN</v>
      </c>
      <c r="AB31" s="105"/>
      <c r="AC31" s="105"/>
    </row>
    <row r="32" spans="2:29" x14ac:dyDescent="0.3">
      <c r="B32" s="108"/>
      <c r="C32" s="108"/>
      <c r="D32" s="108"/>
      <c r="E32" s="108"/>
      <c r="F32" s="108"/>
      <c r="G32" s="108"/>
      <c r="H32" s="116"/>
      <c r="I32" s="116"/>
      <c r="J32" s="129"/>
      <c r="K32" s="117"/>
      <c r="L32" s="117"/>
      <c r="M32" s="117"/>
      <c r="N32" s="117"/>
      <c r="O32" s="117"/>
      <c r="P32" s="117"/>
      <c r="Q32" s="117"/>
      <c r="R32" s="117"/>
      <c r="S32" s="117"/>
      <c r="T32" s="117"/>
      <c r="U32" s="117"/>
      <c r="V32" s="117"/>
      <c r="W32" s="117"/>
      <c r="X32" s="117"/>
      <c r="Y32" s="117"/>
      <c r="Z32" s="117"/>
      <c r="AA32" s="117"/>
      <c r="AB32" s="105"/>
      <c r="AC32" s="105"/>
    </row>
    <row r="33" spans="2:30" s="25" customFormat="1" ht="15.75" thickBot="1" x14ac:dyDescent="0.3">
      <c r="B33" s="120"/>
      <c r="C33" s="120"/>
      <c r="D33" s="120"/>
      <c r="E33" s="120"/>
      <c r="F33" s="120"/>
      <c r="G33" s="121"/>
      <c r="H33" s="120"/>
      <c r="I33" s="120"/>
      <c r="J33" s="120"/>
      <c r="K33" s="120"/>
      <c r="L33" s="120"/>
      <c r="M33" s="120"/>
      <c r="N33" s="120"/>
      <c r="O33" s="120"/>
      <c r="P33" s="120"/>
      <c r="Q33" s="120"/>
      <c r="R33" s="120"/>
      <c r="S33" s="120"/>
      <c r="T33" s="120"/>
      <c r="U33" s="120"/>
      <c r="V33" s="120"/>
      <c r="W33" s="120"/>
      <c r="X33" s="120"/>
      <c r="Y33" s="120"/>
      <c r="Z33" s="120"/>
      <c r="AA33" s="120"/>
      <c r="AB33" s="94"/>
      <c r="AC33" s="94"/>
    </row>
    <row r="34" spans="2:30" s="25" customFormat="1" ht="15" x14ac:dyDescent="0.25">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122"/>
      <c r="AC34" s="94"/>
    </row>
    <row r="35" spans="2:30" ht="19.5" thickBot="1" x14ac:dyDescent="0.45">
      <c r="B35" s="82" t="s">
        <v>6</v>
      </c>
      <c r="C35" s="108"/>
      <c r="D35" s="108"/>
      <c r="E35" s="108"/>
      <c r="F35" s="108"/>
      <c r="G35" s="108"/>
      <c r="H35" s="108"/>
      <c r="I35" s="108"/>
      <c r="J35" s="108"/>
      <c r="K35" s="108"/>
      <c r="L35" s="108"/>
      <c r="M35" s="108"/>
      <c r="N35" s="108"/>
      <c r="O35" s="108"/>
      <c r="P35" s="108"/>
      <c r="Q35" s="108"/>
      <c r="R35" s="108"/>
      <c r="S35" s="108"/>
      <c r="T35" s="108"/>
      <c r="U35" s="108"/>
      <c r="V35" s="108"/>
      <c r="W35" s="108"/>
      <c r="X35" s="117"/>
      <c r="Y35" s="123"/>
      <c r="Z35" s="117"/>
      <c r="AA35" s="117"/>
      <c r="AB35" s="122"/>
      <c r="AC35" s="124"/>
      <c r="AD35" s="34"/>
    </row>
    <row r="36" spans="2:30" ht="17.25" thickBot="1" x14ac:dyDescent="0.35">
      <c r="B36" s="108" t="s">
        <v>200</v>
      </c>
      <c r="C36" s="108"/>
      <c r="D36" s="108"/>
      <c r="E36" s="108"/>
      <c r="F36" s="108"/>
      <c r="G36" s="108"/>
      <c r="H36" s="258"/>
      <c r="I36" s="108"/>
      <c r="J36" s="33" t="s">
        <v>4</v>
      </c>
      <c r="K36" s="108" t="s">
        <v>7</v>
      </c>
      <c r="L36" s="108"/>
      <c r="M36" s="108"/>
      <c r="N36" s="108"/>
      <c r="O36" s="108"/>
      <c r="P36" s="108"/>
      <c r="Q36" s="108"/>
      <c r="R36" s="108"/>
      <c r="S36" s="108"/>
      <c r="T36" s="108"/>
      <c r="U36" s="108"/>
      <c r="V36" s="108"/>
      <c r="W36" s="117" t="str">
        <f>CONCATENATE(H36,"_",H38)</f>
        <v>_</v>
      </c>
      <c r="X36" s="117">
        <f>H37</f>
        <v>0</v>
      </c>
      <c r="Y36" s="117">
        <f>H38</f>
        <v>0</v>
      </c>
      <c r="Z36" s="117">
        <f>H39</f>
        <v>0</v>
      </c>
      <c r="AA36" s="117">
        <f>H40</f>
        <v>0</v>
      </c>
      <c r="AB36" s="122"/>
      <c r="AC36" s="124"/>
      <c r="AD36" s="34"/>
    </row>
    <row r="37" spans="2:30" ht="17.25" thickBot="1" x14ac:dyDescent="0.35">
      <c r="B37" s="108" t="s">
        <v>8</v>
      </c>
      <c r="C37" s="108"/>
      <c r="D37" s="108"/>
      <c r="E37" s="108"/>
      <c r="F37" s="108"/>
      <c r="G37" s="108"/>
      <c r="H37" s="258"/>
      <c r="I37" s="125"/>
      <c r="J37" s="33" t="s">
        <v>4</v>
      </c>
      <c r="K37"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37" s="108"/>
      <c r="M37" s="108"/>
      <c r="N37" s="108"/>
      <c r="O37" s="108"/>
      <c r="P37" s="108"/>
      <c r="Q37" s="108"/>
      <c r="R37" s="108"/>
      <c r="S37" s="108"/>
      <c r="T37" s="108"/>
      <c r="U37" s="108"/>
      <c r="V37" s="108"/>
      <c r="W37" s="108"/>
      <c r="X37" s="117"/>
      <c r="Y37" s="117"/>
      <c r="Z37" s="117"/>
      <c r="AA37" s="117"/>
      <c r="AB37" s="122"/>
      <c r="AC37" s="124"/>
      <c r="AD37" s="34"/>
    </row>
    <row r="38" spans="2:30" ht="17.25" thickBot="1" x14ac:dyDescent="0.35">
      <c r="B38" s="108" t="s">
        <v>10</v>
      </c>
      <c r="C38" s="108"/>
      <c r="D38" s="108"/>
      <c r="E38" s="108"/>
      <c r="F38" s="108"/>
      <c r="G38" s="108"/>
      <c r="H38" s="259"/>
      <c r="I38" s="108"/>
      <c r="J38" s="33" t="s">
        <v>4</v>
      </c>
      <c r="K38" s="108" t="s">
        <v>11</v>
      </c>
      <c r="L38" s="108"/>
      <c r="M38" s="108"/>
      <c r="N38" s="108"/>
      <c r="O38" s="108"/>
      <c r="P38" s="108"/>
      <c r="Q38" s="108"/>
      <c r="R38" s="108"/>
      <c r="S38" s="108"/>
      <c r="T38" s="108"/>
      <c r="U38" s="108"/>
      <c r="V38" s="108"/>
      <c r="W38" s="108"/>
      <c r="X38" s="117"/>
      <c r="Y38" s="117"/>
      <c r="Z38" s="117"/>
      <c r="AA38" s="117"/>
      <c r="AB38" s="122"/>
      <c r="AC38" s="124"/>
      <c r="AD38" s="34"/>
    </row>
    <row r="39" spans="2:30" ht="17.25" thickBot="1" x14ac:dyDescent="0.35">
      <c r="B39" s="108" t="str">
        <f>IF(ISBLANK(H38),"Bitte Energieart auswählen!","Nettorechnungsbetrag ("&amp;H38&amp;")")</f>
        <v>Bitte Energieart auswählen!</v>
      </c>
      <c r="C39" s="108"/>
      <c r="D39" s="108"/>
      <c r="E39" s="108"/>
      <c r="F39" s="108"/>
      <c r="G39" s="108"/>
      <c r="H39" s="260"/>
      <c r="I39" s="116" t="s">
        <v>12</v>
      </c>
      <c r="J39" s="33" t="s">
        <v>4</v>
      </c>
      <c r="K39" s="108" t="str">
        <f>IF(ISBLANK(H38),"Bitte Energieart auswählen!",H38 &amp; "kosten exkl. Steuern, Abgaben, Netzentgelte, etc.")</f>
        <v>Bitte Energieart auswählen!</v>
      </c>
      <c r="L39" s="108"/>
      <c r="M39" s="108"/>
      <c r="N39" s="108"/>
      <c r="O39" s="108"/>
      <c r="P39" s="108"/>
      <c r="Q39" s="108"/>
      <c r="R39" s="108"/>
      <c r="S39" s="108"/>
      <c r="T39" s="108"/>
      <c r="U39" s="108"/>
      <c r="V39" s="108"/>
      <c r="W39" s="108"/>
      <c r="X39" s="117"/>
      <c r="Y39" s="117"/>
      <c r="Z39" s="117"/>
      <c r="AA39" s="117"/>
      <c r="AB39" s="122"/>
      <c r="AC39" s="124"/>
      <c r="AD39" s="34"/>
    </row>
    <row r="40" spans="2:30" ht="17.25" thickBot="1" x14ac:dyDescent="0.35">
      <c r="B40" s="108" t="str">
        <f>IF(ISBLANK(H38),"Bitte Energieart auswählen!",IF(H37="Nein",H38&amp;"verbrauch in kWh gem. letzter Jahresabrechnung",H38&amp;"verbrauch in kWh im Kalenderjahr "&amp;par_Jahr1))</f>
        <v>Bitte Energieart auswählen!</v>
      </c>
      <c r="C40" s="108"/>
      <c r="D40" s="108"/>
      <c r="E40" s="108"/>
      <c r="F40" s="108"/>
      <c r="G40" s="108"/>
      <c r="H40" s="261"/>
      <c r="I40" s="116" t="s">
        <v>13</v>
      </c>
      <c r="J40" s="33" t="s">
        <v>4</v>
      </c>
      <c r="K40" s="108" t="str">
        <f>IF(H37="Nein","Den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40" s="108"/>
      <c r="M40" s="108"/>
      <c r="N40" s="108"/>
      <c r="O40" s="108"/>
      <c r="P40" s="108"/>
      <c r="Q40" s="108"/>
      <c r="R40" s="108"/>
      <c r="S40" s="108"/>
      <c r="T40" s="108"/>
      <c r="U40" s="108"/>
      <c r="V40" s="108"/>
      <c r="W40" s="108"/>
      <c r="X40" s="117"/>
      <c r="Y40" s="117"/>
      <c r="Z40" s="117"/>
      <c r="AA40" s="117"/>
      <c r="AB40" s="122"/>
      <c r="AC40" s="124"/>
      <c r="AD40" s="34"/>
    </row>
    <row r="41" spans="2:30" s="25" customFormat="1" ht="15" x14ac:dyDescent="0.25">
      <c r="B41" s="98"/>
      <c r="C41" s="98"/>
      <c r="D41" s="98"/>
      <c r="E41" s="98"/>
      <c r="F41" s="98"/>
      <c r="G41" s="98"/>
      <c r="H41" s="98"/>
      <c r="I41" s="98"/>
      <c r="J41" s="98"/>
      <c r="K41" s="98"/>
      <c r="L41" s="98"/>
      <c r="M41" s="98"/>
      <c r="N41" s="98"/>
      <c r="O41" s="98"/>
      <c r="P41" s="98"/>
      <c r="Q41" s="98"/>
      <c r="R41" s="98"/>
      <c r="S41" s="98"/>
      <c r="T41" s="98"/>
      <c r="U41" s="98"/>
      <c r="V41" s="98"/>
      <c r="W41" s="98"/>
      <c r="X41" s="117"/>
      <c r="Y41" s="117"/>
      <c r="Z41" s="117"/>
      <c r="AA41" s="117"/>
      <c r="AB41" s="122"/>
      <c r="AC41" s="94"/>
    </row>
    <row r="42" spans="2:30" ht="19.5" thickBot="1" x14ac:dyDescent="0.45">
      <c r="B42" s="82" t="s">
        <v>6</v>
      </c>
      <c r="C42" s="108"/>
      <c r="D42" s="108"/>
      <c r="E42" s="108"/>
      <c r="F42" s="108"/>
      <c r="G42" s="108"/>
      <c r="H42" s="108"/>
      <c r="I42" s="108"/>
      <c r="J42" s="108"/>
      <c r="K42" s="108"/>
      <c r="L42" s="108"/>
      <c r="M42" s="108"/>
      <c r="N42" s="108"/>
      <c r="O42" s="108"/>
      <c r="P42" s="108"/>
      <c r="Q42" s="108"/>
      <c r="R42" s="108"/>
      <c r="S42" s="108"/>
      <c r="T42" s="108"/>
      <c r="U42" s="108"/>
      <c r="V42" s="108"/>
      <c r="W42" s="108"/>
      <c r="X42" s="117"/>
      <c r="Y42" s="123"/>
      <c r="Z42" s="117"/>
      <c r="AA42" s="117"/>
      <c r="AB42" s="122"/>
      <c r="AC42" s="124"/>
      <c r="AD42" s="34"/>
    </row>
    <row r="43" spans="2:30" ht="17.25" thickBot="1" x14ac:dyDescent="0.35">
      <c r="B43" s="108" t="s">
        <v>200</v>
      </c>
      <c r="C43" s="108"/>
      <c r="D43" s="108"/>
      <c r="E43" s="108"/>
      <c r="F43" s="108"/>
      <c r="G43" s="108"/>
      <c r="H43" s="258"/>
      <c r="I43" s="108"/>
      <c r="J43" s="33" t="s">
        <v>4</v>
      </c>
      <c r="K43" s="108" t="s">
        <v>7</v>
      </c>
      <c r="L43" s="108"/>
      <c r="M43" s="108"/>
      <c r="N43" s="108"/>
      <c r="O43" s="108"/>
      <c r="P43" s="108"/>
      <c r="Q43" s="108"/>
      <c r="R43" s="108"/>
      <c r="S43" s="108"/>
      <c r="T43" s="108"/>
      <c r="U43" s="108"/>
      <c r="V43" s="108"/>
      <c r="W43" s="117" t="str">
        <f>CONCATENATE(H43,"_",H45)</f>
        <v>_</v>
      </c>
      <c r="X43" s="117">
        <f>H44</f>
        <v>0</v>
      </c>
      <c r="Y43" s="117">
        <f>H45</f>
        <v>0</v>
      </c>
      <c r="Z43" s="117">
        <f>H46</f>
        <v>0</v>
      </c>
      <c r="AA43" s="117">
        <f>H47</f>
        <v>0</v>
      </c>
      <c r="AB43" s="122"/>
      <c r="AC43" s="124"/>
      <c r="AD43" s="34"/>
    </row>
    <row r="44" spans="2:30" ht="17.25" thickBot="1" x14ac:dyDescent="0.35">
      <c r="B44" s="108" t="s">
        <v>8</v>
      </c>
      <c r="C44" s="108"/>
      <c r="D44" s="108"/>
      <c r="E44" s="108"/>
      <c r="F44" s="108"/>
      <c r="G44" s="108"/>
      <c r="H44" s="258"/>
      <c r="I44" s="125"/>
      <c r="J44" s="33" t="s">
        <v>4</v>
      </c>
      <c r="K44"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44" s="108"/>
      <c r="M44" s="108"/>
      <c r="N44" s="108"/>
      <c r="O44" s="108"/>
      <c r="P44" s="108"/>
      <c r="Q44" s="108"/>
      <c r="R44" s="108"/>
      <c r="S44" s="108"/>
      <c r="T44" s="108"/>
      <c r="U44" s="108"/>
      <c r="V44" s="108"/>
      <c r="W44" s="108"/>
      <c r="X44" s="117"/>
      <c r="Y44" s="117"/>
      <c r="Z44" s="117"/>
      <c r="AA44" s="117"/>
      <c r="AB44" s="122"/>
      <c r="AC44" s="124"/>
      <c r="AD44" s="34"/>
    </row>
    <row r="45" spans="2:30" ht="17.25" thickBot="1" x14ac:dyDescent="0.35">
      <c r="B45" s="108" t="s">
        <v>10</v>
      </c>
      <c r="C45" s="108"/>
      <c r="D45" s="108"/>
      <c r="E45" s="108"/>
      <c r="F45" s="108"/>
      <c r="G45" s="108"/>
      <c r="H45" s="259"/>
      <c r="I45" s="108"/>
      <c r="J45" s="33" t="s">
        <v>4</v>
      </c>
      <c r="K45" s="108" t="s">
        <v>11</v>
      </c>
      <c r="L45" s="108"/>
      <c r="M45" s="108"/>
      <c r="N45" s="108"/>
      <c r="O45" s="108"/>
      <c r="P45" s="108"/>
      <c r="Q45" s="108"/>
      <c r="R45" s="108"/>
      <c r="S45" s="108"/>
      <c r="T45" s="108"/>
      <c r="U45" s="108"/>
      <c r="V45" s="108"/>
      <c r="W45" s="108"/>
      <c r="X45" s="117"/>
      <c r="Y45" s="117"/>
      <c r="Z45" s="117"/>
      <c r="AA45" s="117"/>
      <c r="AB45" s="122"/>
      <c r="AC45" s="124"/>
      <c r="AD45" s="34"/>
    </row>
    <row r="46" spans="2:30" ht="17.25" thickBot="1" x14ac:dyDescent="0.35">
      <c r="B46" s="108" t="str">
        <f>IF(ISBLANK(H45),"Bitte Energieart auswählen!","Nettorechnungsbetrag ("&amp;H45&amp;")")</f>
        <v>Bitte Energieart auswählen!</v>
      </c>
      <c r="C46" s="108"/>
      <c r="D46" s="108"/>
      <c r="E46" s="108"/>
      <c r="F46" s="108"/>
      <c r="G46" s="108"/>
      <c r="H46" s="260"/>
      <c r="I46" s="116" t="s">
        <v>12</v>
      </c>
      <c r="J46" s="33" t="s">
        <v>4</v>
      </c>
      <c r="K46" s="108" t="str">
        <f>IF(ISBLANK(H45),"Bitte Energieart auswählen!",H45 &amp; "kosten exkl. Steuern, Abgaben, Netzentgelte, etc.")</f>
        <v>Bitte Energieart auswählen!</v>
      </c>
      <c r="L46" s="108"/>
      <c r="M46" s="108"/>
      <c r="N46" s="108"/>
      <c r="O46" s="108"/>
      <c r="P46" s="108"/>
      <c r="Q46" s="108"/>
      <c r="R46" s="108"/>
      <c r="S46" s="108"/>
      <c r="T46" s="108"/>
      <c r="U46" s="108"/>
      <c r="V46" s="108"/>
      <c r="W46" s="108"/>
      <c r="X46" s="117"/>
      <c r="Y46" s="117"/>
      <c r="Z46" s="117"/>
      <c r="AA46" s="117"/>
      <c r="AB46" s="122"/>
      <c r="AC46" s="124"/>
      <c r="AD46" s="34"/>
    </row>
    <row r="47" spans="2:30" ht="17.25" thickBot="1" x14ac:dyDescent="0.35">
      <c r="B47" s="108" t="str">
        <f>IF(ISBLANK(H45),"Bitte Energieart auswählen!",IF(H44="Nein",H45&amp;"verbrauch in kWh gem. letzter Jahresabrechnung",H45&amp;"verbrauch in kWh im Kalenderjahr "&amp;par_Jahr1))</f>
        <v>Bitte Energieart auswählen!</v>
      </c>
      <c r="C47" s="108"/>
      <c r="D47" s="108"/>
      <c r="E47" s="108"/>
      <c r="F47" s="108"/>
      <c r="G47" s="108"/>
      <c r="H47" s="261"/>
      <c r="I47" s="116" t="s">
        <v>13</v>
      </c>
      <c r="J47" s="33" t="s">
        <v>4</v>
      </c>
      <c r="K47" s="108" t="str">
        <f>IF(H44="Nein","Den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47" s="108"/>
      <c r="M47" s="108"/>
      <c r="N47" s="108"/>
      <c r="O47" s="108"/>
      <c r="P47" s="108"/>
      <c r="Q47" s="108"/>
      <c r="R47" s="108"/>
      <c r="S47" s="108"/>
      <c r="T47" s="108"/>
      <c r="U47" s="108"/>
      <c r="V47" s="108"/>
      <c r="W47" s="108"/>
      <c r="X47" s="117"/>
      <c r="Y47" s="117"/>
      <c r="Z47" s="117"/>
      <c r="AA47" s="117"/>
      <c r="AB47" s="122"/>
      <c r="AC47" s="124"/>
      <c r="AD47" s="34"/>
    </row>
    <row r="48" spans="2:30" s="25" customFormat="1" ht="15" x14ac:dyDescent="0.25">
      <c r="B48" s="98"/>
      <c r="C48" s="98"/>
      <c r="D48" s="98"/>
      <c r="E48" s="98"/>
      <c r="F48" s="98"/>
      <c r="G48" s="98"/>
      <c r="H48" s="98"/>
      <c r="I48" s="98"/>
      <c r="J48" s="98"/>
      <c r="K48" s="98"/>
      <c r="L48" s="98"/>
      <c r="M48" s="98"/>
      <c r="N48" s="98"/>
      <c r="O48" s="98"/>
      <c r="P48" s="98"/>
      <c r="Q48" s="98"/>
      <c r="R48" s="98"/>
      <c r="S48" s="98"/>
      <c r="T48" s="98"/>
      <c r="U48" s="98"/>
      <c r="V48" s="98"/>
      <c r="W48" s="98"/>
      <c r="X48" s="117"/>
      <c r="Y48" s="117"/>
      <c r="Z48" s="117"/>
      <c r="AA48" s="117"/>
      <c r="AB48" s="122"/>
      <c r="AC48" s="94"/>
    </row>
    <row r="49" spans="2:30" ht="19.5" thickBot="1" x14ac:dyDescent="0.45">
      <c r="B49" s="82" t="s">
        <v>6</v>
      </c>
      <c r="C49" s="108"/>
      <c r="D49" s="108"/>
      <c r="E49" s="108"/>
      <c r="F49" s="108"/>
      <c r="G49" s="108"/>
      <c r="H49" s="108"/>
      <c r="I49" s="108"/>
      <c r="J49" s="108"/>
      <c r="K49" s="108"/>
      <c r="L49" s="108"/>
      <c r="M49" s="108"/>
      <c r="N49" s="108"/>
      <c r="O49" s="108"/>
      <c r="P49" s="108"/>
      <c r="Q49" s="108"/>
      <c r="R49" s="108"/>
      <c r="S49" s="108"/>
      <c r="T49" s="108"/>
      <c r="U49" s="108"/>
      <c r="V49" s="108"/>
      <c r="W49" s="108"/>
      <c r="X49" s="117"/>
      <c r="Y49" s="123"/>
      <c r="Z49" s="117"/>
      <c r="AA49" s="117"/>
      <c r="AB49" s="122"/>
      <c r="AC49" s="124"/>
      <c r="AD49" s="34"/>
    </row>
    <row r="50" spans="2:30" ht="17.25" thickBot="1" x14ac:dyDescent="0.35">
      <c r="B50" s="108" t="s">
        <v>200</v>
      </c>
      <c r="C50" s="108"/>
      <c r="D50" s="108"/>
      <c r="E50" s="108"/>
      <c r="F50" s="108"/>
      <c r="G50" s="108"/>
      <c r="H50" s="258"/>
      <c r="I50" s="108"/>
      <c r="J50" s="33" t="s">
        <v>4</v>
      </c>
      <c r="K50" s="108" t="s">
        <v>7</v>
      </c>
      <c r="L50" s="108"/>
      <c r="M50" s="108"/>
      <c r="N50" s="108"/>
      <c r="O50" s="108"/>
      <c r="P50" s="108"/>
      <c r="Q50" s="108"/>
      <c r="R50" s="108"/>
      <c r="S50" s="108"/>
      <c r="T50" s="108"/>
      <c r="U50" s="108"/>
      <c r="V50" s="108"/>
      <c r="W50" s="117" t="str">
        <f>CONCATENATE(H50,"_",H52)</f>
        <v>_</v>
      </c>
      <c r="X50" s="117">
        <f>H51</f>
        <v>0</v>
      </c>
      <c r="Y50" s="117">
        <f>H52</f>
        <v>0</v>
      </c>
      <c r="Z50" s="117">
        <f>H53</f>
        <v>0</v>
      </c>
      <c r="AA50" s="117">
        <f>H54</f>
        <v>0</v>
      </c>
      <c r="AB50" s="122"/>
      <c r="AC50" s="124"/>
      <c r="AD50" s="34"/>
    </row>
    <row r="51" spans="2:30" ht="17.25" thickBot="1" x14ac:dyDescent="0.35">
      <c r="B51" s="108" t="s">
        <v>8</v>
      </c>
      <c r="C51" s="108"/>
      <c r="D51" s="108"/>
      <c r="E51" s="108"/>
      <c r="F51" s="108"/>
      <c r="G51" s="108"/>
      <c r="H51" s="258"/>
      <c r="I51" s="125"/>
      <c r="J51" s="33" t="s">
        <v>4</v>
      </c>
      <c r="K51"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51" s="108"/>
      <c r="M51" s="108"/>
      <c r="N51" s="108"/>
      <c r="O51" s="108"/>
      <c r="P51" s="108"/>
      <c r="Q51" s="108"/>
      <c r="R51" s="108"/>
      <c r="S51" s="108"/>
      <c r="T51" s="108"/>
      <c r="U51" s="108"/>
      <c r="V51" s="108"/>
      <c r="W51" s="108"/>
      <c r="X51" s="117"/>
      <c r="Y51" s="117"/>
      <c r="Z51" s="117"/>
      <c r="AA51" s="117"/>
      <c r="AB51" s="122"/>
      <c r="AC51" s="124"/>
      <c r="AD51" s="34"/>
    </row>
    <row r="52" spans="2:30" ht="17.25" thickBot="1" x14ac:dyDescent="0.35">
      <c r="B52" s="108" t="s">
        <v>10</v>
      </c>
      <c r="C52" s="108"/>
      <c r="D52" s="108"/>
      <c r="E52" s="108"/>
      <c r="F52" s="108"/>
      <c r="G52" s="108"/>
      <c r="H52" s="259"/>
      <c r="I52" s="108"/>
      <c r="J52" s="33" t="s">
        <v>4</v>
      </c>
      <c r="K52" s="108" t="s">
        <v>11</v>
      </c>
      <c r="L52" s="108"/>
      <c r="M52" s="108"/>
      <c r="N52" s="108"/>
      <c r="O52" s="108"/>
      <c r="P52" s="108"/>
      <c r="Q52" s="108"/>
      <c r="R52" s="108"/>
      <c r="S52" s="108"/>
      <c r="T52" s="108"/>
      <c r="U52" s="108"/>
      <c r="V52" s="108"/>
      <c r="W52" s="108"/>
      <c r="X52" s="117"/>
      <c r="Y52" s="117"/>
      <c r="Z52" s="117"/>
      <c r="AA52" s="117"/>
      <c r="AB52" s="122"/>
      <c r="AC52" s="124"/>
      <c r="AD52" s="34"/>
    </row>
    <row r="53" spans="2:30" ht="17.25" thickBot="1" x14ac:dyDescent="0.35">
      <c r="B53" s="108" t="str">
        <f>IF(ISBLANK(H52),"Bitte Energieart auswählen!","Nettorechnungsbetrag ("&amp;H52&amp;")")</f>
        <v>Bitte Energieart auswählen!</v>
      </c>
      <c r="C53" s="108"/>
      <c r="D53" s="108"/>
      <c r="E53" s="108"/>
      <c r="F53" s="108"/>
      <c r="G53" s="108"/>
      <c r="H53" s="260"/>
      <c r="I53" s="116" t="s">
        <v>12</v>
      </c>
      <c r="J53" s="33" t="s">
        <v>4</v>
      </c>
      <c r="K53" s="108" t="str">
        <f>IF(ISBLANK(H52),"Bitte Energieart auswählen!",H52 &amp; "kosten exkl. Steuern, Abgaben, Netzentgelte, etc.")</f>
        <v>Bitte Energieart auswählen!</v>
      </c>
      <c r="L53" s="108"/>
      <c r="M53" s="108"/>
      <c r="N53" s="108"/>
      <c r="O53" s="108"/>
      <c r="P53" s="108"/>
      <c r="Q53" s="108"/>
      <c r="R53" s="108"/>
      <c r="S53" s="108"/>
      <c r="T53" s="108"/>
      <c r="U53" s="108"/>
      <c r="V53" s="108"/>
      <c r="W53" s="108"/>
      <c r="X53" s="117"/>
      <c r="Y53" s="117"/>
      <c r="Z53" s="117"/>
      <c r="AA53" s="117"/>
      <c r="AB53" s="122"/>
      <c r="AC53" s="124"/>
      <c r="AD53" s="34"/>
    </row>
    <row r="54" spans="2:30" ht="17.25" thickBot="1" x14ac:dyDescent="0.35">
      <c r="B54" s="108" t="str">
        <f>IF(ISBLANK(H52),"Bitte Energieart auswählen!",IF(H51="Nein",H52&amp;"verbrauch in kWh gem. letzter Jahresabrechnung",H52&amp;"verbrauch in kWh im Kalenderjahr "&amp;par_Jahr1))</f>
        <v>Bitte Energieart auswählen!</v>
      </c>
      <c r="C54" s="108"/>
      <c r="D54" s="108"/>
      <c r="E54" s="108"/>
      <c r="F54" s="108"/>
      <c r="G54" s="108"/>
      <c r="H54" s="261"/>
      <c r="I54" s="116" t="s">
        <v>13</v>
      </c>
      <c r="J54" s="33" t="s">
        <v>4</v>
      </c>
      <c r="K54" s="108" t="str">
        <f>IF(H51="Nein","Den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54" s="108"/>
      <c r="M54" s="108"/>
      <c r="N54" s="108"/>
      <c r="O54" s="108"/>
      <c r="P54" s="108"/>
      <c r="Q54" s="108"/>
      <c r="R54" s="108"/>
      <c r="S54" s="108"/>
      <c r="T54" s="108"/>
      <c r="U54" s="108"/>
      <c r="V54" s="108"/>
      <c r="W54" s="108"/>
      <c r="X54" s="117"/>
      <c r="Y54" s="117"/>
      <c r="Z54" s="117"/>
      <c r="AA54" s="117"/>
      <c r="AB54" s="122"/>
      <c r="AC54" s="124"/>
      <c r="AD54" s="34"/>
    </row>
    <row r="55" spans="2:30" s="25" customFormat="1" ht="15" x14ac:dyDescent="0.25">
      <c r="B55" s="98"/>
      <c r="C55" s="98"/>
      <c r="D55" s="98"/>
      <c r="E55" s="98"/>
      <c r="F55" s="98"/>
      <c r="G55" s="98"/>
      <c r="H55" s="98"/>
      <c r="I55" s="98"/>
      <c r="J55" s="98"/>
      <c r="K55" s="98"/>
      <c r="L55" s="98"/>
      <c r="M55" s="98"/>
      <c r="N55" s="98"/>
      <c r="O55" s="98"/>
      <c r="P55" s="98"/>
      <c r="Q55" s="98"/>
      <c r="R55" s="98"/>
      <c r="S55" s="98"/>
      <c r="T55" s="98"/>
      <c r="U55" s="98"/>
      <c r="V55" s="98"/>
      <c r="W55" s="98"/>
      <c r="X55" s="117"/>
      <c r="Y55" s="117"/>
      <c r="Z55" s="117"/>
      <c r="AA55" s="117"/>
      <c r="AB55" s="122"/>
      <c r="AC55" s="94"/>
    </row>
    <row r="56" spans="2:30" ht="19.5" thickBot="1" x14ac:dyDescent="0.45">
      <c r="B56" s="82" t="s">
        <v>6</v>
      </c>
      <c r="C56" s="108"/>
      <c r="D56" s="108"/>
      <c r="E56" s="108"/>
      <c r="F56" s="108"/>
      <c r="G56" s="108"/>
      <c r="H56" s="108"/>
      <c r="I56" s="108"/>
      <c r="J56" s="108"/>
      <c r="K56" s="108"/>
      <c r="L56" s="108"/>
      <c r="M56" s="108"/>
      <c r="N56" s="108"/>
      <c r="O56" s="108"/>
      <c r="P56" s="108"/>
      <c r="Q56" s="108"/>
      <c r="R56" s="108"/>
      <c r="S56" s="108"/>
      <c r="T56" s="108"/>
      <c r="U56" s="108"/>
      <c r="V56" s="108"/>
      <c r="W56" s="108"/>
      <c r="X56" s="117"/>
      <c r="Y56" s="123"/>
      <c r="Z56" s="117"/>
      <c r="AA56" s="117"/>
      <c r="AB56" s="122"/>
      <c r="AC56" s="124"/>
      <c r="AD56" s="34"/>
    </row>
    <row r="57" spans="2:30" ht="17.25" thickBot="1" x14ac:dyDescent="0.35">
      <c r="B57" s="108" t="s">
        <v>200</v>
      </c>
      <c r="C57" s="108"/>
      <c r="D57" s="108"/>
      <c r="E57" s="108"/>
      <c r="F57" s="108"/>
      <c r="G57" s="108"/>
      <c r="H57" s="258"/>
      <c r="I57" s="108"/>
      <c r="J57" s="33" t="s">
        <v>4</v>
      </c>
      <c r="K57" s="108" t="s">
        <v>7</v>
      </c>
      <c r="L57" s="108"/>
      <c r="M57" s="108"/>
      <c r="N57" s="108"/>
      <c r="O57" s="108"/>
      <c r="P57" s="108"/>
      <c r="Q57" s="108"/>
      <c r="R57" s="108"/>
      <c r="S57" s="108"/>
      <c r="T57" s="108"/>
      <c r="U57" s="108"/>
      <c r="V57" s="108"/>
      <c r="W57" s="117" t="str">
        <f>CONCATENATE(H57,"_",H59)</f>
        <v>_</v>
      </c>
      <c r="X57" s="117">
        <f>H58</f>
        <v>0</v>
      </c>
      <c r="Y57" s="117">
        <f>H59</f>
        <v>0</v>
      </c>
      <c r="Z57" s="117">
        <f>H60</f>
        <v>0</v>
      </c>
      <c r="AA57" s="117">
        <f>H61</f>
        <v>0</v>
      </c>
      <c r="AB57" s="122"/>
      <c r="AC57" s="124"/>
      <c r="AD57" s="34"/>
    </row>
    <row r="58" spans="2:30" ht="17.25" thickBot="1" x14ac:dyDescent="0.35">
      <c r="B58" s="108" t="s">
        <v>8</v>
      </c>
      <c r="C58" s="108"/>
      <c r="D58" s="108"/>
      <c r="E58" s="108"/>
      <c r="F58" s="108"/>
      <c r="G58" s="108"/>
      <c r="H58" s="258"/>
      <c r="I58" s="125"/>
      <c r="J58" s="33" t="s">
        <v>4</v>
      </c>
      <c r="K58"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58" s="108"/>
      <c r="M58" s="108"/>
      <c r="N58" s="108"/>
      <c r="O58" s="108"/>
      <c r="P58" s="108"/>
      <c r="Q58" s="108"/>
      <c r="R58" s="108"/>
      <c r="S58" s="108"/>
      <c r="T58" s="108"/>
      <c r="U58" s="108"/>
      <c r="V58" s="108"/>
      <c r="W58" s="108"/>
      <c r="X58" s="117"/>
      <c r="Y58" s="117"/>
      <c r="Z58" s="117"/>
      <c r="AA58" s="117"/>
      <c r="AB58" s="122"/>
      <c r="AC58" s="124"/>
      <c r="AD58" s="34"/>
    </row>
    <row r="59" spans="2:30" ht="17.25" thickBot="1" x14ac:dyDescent="0.35">
      <c r="B59" s="108" t="s">
        <v>10</v>
      </c>
      <c r="C59" s="108"/>
      <c r="D59" s="108"/>
      <c r="E59" s="108"/>
      <c r="F59" s="108"/>
      <c r="G59" s="108"/>
      <c r="H59" s="259"/>
      <c r="I59" s="108"/>
      <c r="J59" s="33" t="s">
        <v>4</v>
      </c>
      <c r="K59" s="108" t="s">
        <v>11</v>
      </c>
      <c r="L59" s="108"/>
      <c r="M59" s="108"/>
      <c r="N59" s="108"/>
      <c r="O59" s="108"/>
      <c r="P59" s="108"/>
      <c r="Q59" s="108"/>
      <c r="R59" s="108"/>
      <c r="S59" s="108"/>
      <c r="T59" s="108"/>
      <c r="U59" s="108"/>
      <c r="V59" s="108"/>
      <c r="W59" s="108"/>
      <c r="X59" s="117"/>
      <c r="Y59" s="117"/>
      <c r="Z59" s="117"/>
      <c r="AA59" s="117"/>
      <c r="AB59" s="122"/>
      <c r="AC59" s="124"/>
      <c r="AD59" s="34"/>
    </row>
    <row r="60" spans="2:30" ht="17.25" thickBot="1" x14ac:dyDescent="0.35">
      <c r="B60" s="108" t="str">
        <f>IF(ISBLANK(H59),"Bitte Energieart auswählen!","Nettorechnungsbetrag ("&amp;H59&amp;")")</f>
        <v>Bitte Energieart auswählen!</v>
      </c>
      <c r="C60" s="108"/>
      <c r="D60" s="108"/>
      <c r="E60" s="108"/>
      <c r="F60" s="108"/>
      <c r="G60" s="108"/>
      <c r="H60" s="260"/>
      <c r="I60" s="116" t="s">
        <v>12</v>
      </c>
      <c r="J60" s="33" t="s">
        <v>4</v>
      </c>
      <c r="K60" s="108" t="str">
        <f>IF(ISBLANK(H59),"Bitte Energieart auswählen!",H59 &amp; "kosten exkl. Steuern, Abgaben, Netzentgelte, etc.")</f>
        <v>Bitte Energieart auswählen!</v>
      </c>
      <c r="L60" s="108"/>
      <c r="M60" s="108"/>
      <c r="N60" s="108"/>
      <c r="O60" s="108"/>
      <c r="P60" s="108"/>
      <c r="Q60" s="108"/>
      <c r="R60" s="108"/>
      <c r="S60" s="108"/>
      <c r="T60" s="108"/>
      <c r="U60" s="108"/>
      <c r="V60" s="108"/>
      <c r="W60" s="108"/>
      <c r="X60" s="117"/>
      <c r="Y60" s="117"/>
      <c r="Z60" s="117"/>
      <c r="AA60" s="117"/>
      <c r="AB60" s="122"/>
      <c r="AC60" s="124"/>
      <c r="AD60" s="34"/>
    </row>
    <row r="61" spans="2:30" ht="17.25" thickBot="1" x14ac:dyDescent="0.35">
      <c r="B61" s="108" t="str">
        <f>IF(ISBLANK(H59),"Bitte Energieart auswählen!",IF(H58="Nein",H59&amp;"verbrauch in kWh gem. letzter Jahresabrechnung",H59&amp;"verbrauch in kWh im Kalenderjahr "&amp;par_Jahr1))</f>
        <v>Bitte Energieart auswählen!</v>
      </c>
      <c r="C61" s="108"/>
      <c r="D61" s="108"/>
      <c r="E61" s="108"/>
      <c r="F61" s="108"/>
      <c r="G61" s="108"/>
      <c r="H61" s="261"/>
      <c r="I61" s="116" t="s">
        <v>13</v>
      </c>
      <c r="J61" s="33" t="s">
        <v>4</v>
      </c>
      <c r="K61" s="108" t="str">
        <f>IF(H58="Nein","Den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61" s="108"/>
      <c r="M61" s="108"/>
      <c r="N61" s="108"/>
      <c r="O61" s="108"/>
      <c r="P61" s="108"/>
      <c r="Q61" s="108"/>
      <c r="R61" s="108"/>
      <c r="S61" s="108"/>
      <c r="T61" s="108"/>
      <c r="U61" s="108"/>
      <c r="V61" s="108"/>
      <c r="W61" s="108"/>
      <c r="X61" s="117"/>
      <c r="Y61" s="117"/>
      <c r="Z61" s="117"/>
      <c r="AA61" s="117"/>
      <c r="AB61" s="122"/>
      <c r="AC61" s="124"/>
      <c r="AD61" s="34"/>
    </row>
    <row r="62" spans="2:30" s="25" customFormat="1" ht="15" x14ac:dyDescent="0.25">
      <c r="B62" s="98"/>
      <c r="C62" s="98"/>
      <c r="D62" s="98"/>
      <c r="E62" s="98"/>
      <c r="F62" s="98"/>
      <c r="G62" s="98"/>
      <c r="H62" s="98"/>
      <c r="I62" s="98"/>
      <c r="J62" s="98"/>
      <c r="K62" s="98"/>
      <c r="L62" s="98"/>
      <c r="M62" s="98"/>
      <c r="N62" s="98"/>
      <c r="O62" s="98"/>
      <c r="P62" s="98"/>
      <c r="Q62" s="98"/>
      <c r="R62" s="98"/>
      <c r="S62" s="98"/>
      <c r="T62" s="98"/>
      <c r="U62" s="98"/>
      <c r="V62" s="98"/>
      <c r="W62" s="98"/>
      <c r="X62" s="117"/>
      <c r="Y62" s="117"/>
      <c r="Z62" s="117"/>
      <c r="AA62" s="117"/>
      <c r="AB62" s="122"/>
      <c r="AC62" s="94"/>
    </row>
    <row r="63" spans="2:30" ht="19.5" thickBot="1" x14ac:dyDescent="0.45">
      <c r="B63" s="82" t="s">
        <v>6</v>
      </c>
      <c r="C63" s="108"/>
      <c r="D63" s="108"/>
      <c r="E63" s="108"/>
      <c r="F63" s="108"/>
      <c r="G63" s="108"/>
      <c r="H63" s="108"/>
      <c r="I63" s="108"/>
      <c r="J63" s="108"/>
      <c r="K63" s="108"/>
      <c r="L63" s="108"/>
      <c r="M63" s="108"/>
      <c r="N63" s="108"/>
      <c r="O63" s="108"/>
      <c r="P63" s="108"/>
      <c r="Q63" s="108"/>
      <c r="R63" s="108"/>
      <c r="S63" s="108"/>
      <c r="T63" s="108"/>
      <c r="U63" s="108"/>
      <c r="V63" s="108"/>
      <c r="W63" s="108"/>
      <c r="X63" s="117"/>
      <c r="Y63" s="123"/>
      <c r="Z63" s="117"/>
      <c r="AA63" s="117"/>
      <c r="AB63" s="122"/>
      <c r="AC63" s="124"/>
      <c r="AD63" s="34"/>
    </row>
    <row r="64" spans="2:30" ht="17.25" thickBot="1" x14ac:dyDescent="0.35">
      <c r="B64" s="108" t="s">
        <v>200</v>
      </c>
      <c r="C64" s="108"/>
      <c r="D64" s="108"/>
      <c r="E64" s="108"/>
      <c r="F64" s="108"/>
      <c r="G64" s="108"/>
      <c r="H64" s="258"/>
      <c r="I64" s="108"/>
      <c r="J64" s="33" t="s">
        <v>4</v>
      </c>
      <c r="K64" s="108" t="s">
        <v>7</v>
      </c>
      <c r="L64" s="108"/>
      <c r="M64" s="108"/>
      <c r="N64" s="108"/>
      <c r="O64" s="108"/>
      <c r="P64" s="108"/>
      <c r="Q64" s="108"/>
      <c r="R64" s="108"/>
      <c r="S64" s="108"/>
      <c r="T64" s="108"/>
      <c r="U64" s="108"/>
      <c r="V64" s="108"/>
      <c r="W64" s="117" t="str">
        <f>CONCATENATE(H64,"_",H66)</f>
        <v>_</v>
      </c>
      <c r="X64" s="117">
        <f>H65</f>
        <v>0</v>
      </c>
      <c r="Y64" s="117">
        <f>H66</f>
        <v>0</v>
      </c>
      <c r="Z64" s="117">
        <f>H67</f>
        <v>0</v>
      </c>
      <c r="AA64" s="117">
        <f>H68</f>
        <v>0</v>
      </c>
      <c r="AB64" s="122"/>
      <c r="AC64" s="124"/>
      <c r="AD64" s="34"/>
    </row>
    <row r="65" spans="2:30" ht="17.25" thickBot="1" x14ac:dyDescent="0.35">
      <c r="B65" s="108" t="s">
        <v>8</v>
      </c>
      <c r="C65" s="108"/>
      <c r="D65" s="108"/>
      <c r="E65" s="108"/>
      <c r="F65" s="108"/>
      <c r="G65" s="108"/>
      <c r="H65" s="258"/>
      <c r="I65" s="125"/>
      <c r="J65" s="33" t="s">
        <v>4</v>
      </c>
      <c r="K65"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65" s="108"/>
      <c r="M65" s="108"/>
      <c r="N65" s="108"/>
      <c r="O65" s="108"/>
      <c r="P65" s="108"/>
      <c r="Q65" s="108"/>
      <c r="R65" s="108"/>
      <c r="S65" s="108"/>
      <c r="T65" s="108"/>
      <c r="U65" s="108"/>
      <c r="V65" s="108"/>
      <c r="W65" s="108"/>
      <c r="X65" s="117"/>
      <c r="Y65" s="117"/>
      <c r="Z65" s="117"/>
      <c r="AA65" s="117"/>
      <c r="AB65" s="122"/>
      <c r="AC65" s="124"/>
      <c r="AD65" s="34"/>
    </row>
    <row r="66" spans="2:30" ht="17.25" thickBot="1" x14ac:dyDescent="0.35">
      <c r="B66" s="108" t="s">
        <v>10</v>
      </c>
      <c r="C66" s="108"/>
      <c r="D66" s="108"/>
      <c r="E66" s="108"/>
      <c r="F66" s="108"/>
      <c r="G66" s="108"/>
      <c r="H66" s="259"/>
      <c r="I66" s="108"/>
      <c r="J66" s="33" t="s">
        <v>4</v>
      </c>
      <c r="K66" s="108" t="s">
        <v>11</v>
      </c>
      <c r="L66" s="108"/>
      <c r="M66" s="108"/>
      <c r="N66" s="108"/>
      <c r="O66" s="108"/>
      <c r="P66" s="108"/>
      <c r="Q66" s="108"/>
      <c r="R66" s="108"/>
      <c r="S66" s="108"/>
      <c r="T66" s="108"/>
      <c r="U66" s="108"/>
      <c r="V66" s="108"/>
      <c r="W66" s="108"/>
      <c r="X66" s="117"/>
      <c r="Y66" s="117"/>
      <c r="Z66" s="117"/>
      <c r="AA66" s="117"/>
      <c r="AB66" s="122"/>
      <c r="AC66" s="124"/>
      <c r="AD66" s="34"/>
    </row>
    <row r="67" spans="2:30" ht="17.25" thickBot="1" x14ac:dyDescent="0.35">
      <c r="B67" s="108" t="str">
        <f>IF(ISBLANK(H66),"Bitte Energieart auswählen!","Nettorechnungsbetrag ("&amp;H66&amp;")")</f>
        <v>Bitte Energieart auswählen!</v>
      </c>
      <c r="C67" s="108"/>
      <c r="D67" s="108"/>
      <c r="E67" s="108"/>
      <c r="F67" s="108"/>
      <c r="G67" s="108"/>
      <c r="H67" s="260"/>
      <c r="I67" s="116" t="s">
        <v>12</v>
      </c>
      <c r="J67" s="33" t="s">
        <v>4</v>
      </c>
      <c r="K67" s="108" t="str">
        <f>IF(ISBLANK(H66),"Bitte Energieart auswählen!",H66 &amp; "kosten exkl. Steuern, Abgaben, Netzentgelte, etc.")</f>
        <v>Bitte Energieart auswählen!</v>
      </c>
      <c r="L67" s="108"/>
      <c r="M67" s="108"/>
      <c r="N67" s="108"/>
      <c r="O67" s="108"/>
      <c r="P67" s="108"/>
      <c r="Q67" s="108"/>
      <c r="R67" s="108"/>
      <c r="S67" s="108"/>
      <c r="T67" s="108"/>
      <c r="U67" s="108"/>
      <c r="V67" s="108"/>
      <c r="W67" s="108"/>
      <c r="X67" s="117"/>
      <c r="Y67" s="117"/>
      <c r="Z67" s="117"/>
      <c r="AA67" s="117"/>
      <c r="AB67" s="122"/>
      <c r="AC67" s="124"/>
      <c r="AD67" s="34"/>
    </row>
    <row r="68" spans="2:30" ht="17.25" thickBot="1" x14ac:dyDescent="0.35">
      <c r="B68" s="108" t="str">
        <f>IF(ISBLANK(H66),"Bitte Energieart auswählen!",IF(H65="Nein",H66&amp;"verbrauch in kWh gem. letzter Jahresabrechnung",H66&amp;"verbrauch in kWh im Kalenderjahr "&amp;par_Jahr1))</f>
        <v>Bitte Energieart auswählen!</v>
      </c>
      <c r="C68" s="108"/>
      <c r="D68" s="108"/>
      <c r="E68" s="108"/>
      <c r="F68" s="108"/>
      <c r="G68" s="108"/>
      <c r="H68" s="261"/>
      <c r="I68" s="116" t="s">
        <v>13</v>
      </c>
      <c r="J68" s="33" t="s">
        <v>4</v>
      </c>
      <c r="K68" s="108" t="str">
        <f>IF(H65="Nein","Den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68" s="108"/>
      <c r="M68" s="108"/>
      <c r="N68" s="108"/>
      <c r="O68" s="108"/>
      <c r="P68" s="108"/>
      <c r="Q68" s="108"/>
      <c r="R68" s="108"/>
      <c r="S68" s="108"/>
      <c r="T68" s="108"/>
      <c r="U68" s="108"/>
      <c r="V68" s="108"/>
      <c r="W68" s="108"/>
      <c r="X68" s="117"/>
      <c r="Y68" s="117"/>
      <c r="Z68" s="117"/>
      <c r="AA68" s="117"/>
      <c r="AB68" s="122"/>
      <c r="AC68" s="124"/>
      <c r="AD68" s="34"/>
    </row>
    <row r="69" spans="2:30" s="25" customFormat="1" ht="15" x14ac:dyDescent="0.25">
      <c r="B69" s="98"/>
      <c r="C69" s="98"/>
      <c r="D69" s="98"/>
      <c r="E69" s="98"/>
      <c r="F69" s="98"/>
      <c r="G69" s="98"/>
      <c r="H69" s="98"/>
      <c r="I69" s="98"/>
      <c r="J69" s="98"/>
      <c r="K69" s="98"/>
      <c r="L69" s="98"/>
      <c r="M69" s="98"/>
      <c r="N69" s="98"/>
      <c r="O69" s="98"/>
      <c r="P69" s="98"/>
      <c r="Q69" s="98"/>
      <c r="R69" s="98"/>
      <c r="S69" s="98"/>
      <c r="T69" s="98"/>
      <c r="U69" s="98"/>
      <c r="V69" s="98"/>
      <c r="W69" s="98"/>
      <c r="X69" s="117"/>
      <c r="Y69" s="117"/>
      <c r="Z69" s="117"/>
      <c r="AA69" s="117"/>
      <c r="AB69" s="122"/>
      <c r="AC69" s="94"/>
    </row>
    <row r="70" spans="2:30" ht="19.5" thickBot="1" x14ac:dyDescent="0.45">
      <c r="B70" s="82" t="s">
        <v>6</v>
      </c>
      <c r="C70" s="108"/>
      <c r="D70" s="108"/>
      <c r="E70" s="108"/>
      <c r="F70" s="108"/>
      <c r="G70" s="108"/>
      <c r="H70" s="108"/>
      <c r="I70" s="108"/>
      <c r="J70" s="108"/>
      <c r="K70" s="108"/>
      <c r="L70" s="108"/>
      <c r="M70" s="108"/>
      <c r="N70" s="108"/>
      <c r="O70" s="108"/>
      <c r="P70" s="108"/>
      <c r="Q70" s="108"/>
      <c r="R70" s="108"/>
      <c r="S70" s="108"/>
      <c r="T70" s="108"/>
      <c r="U70" s="108"/>
      <c r="V70" s="108"/>
      <c r="W70" s="108"/>
      <c r="X70" s="117"/>
      <c r="Y70" s="123"/>
      <c r="Z70" s="117"/>
      <c r="AA70" s="117"/>
      <c r="AB70" s="122"/>
      <c r="AC70" s="124"/>
      <c r="AD70" s="34"/>
    </row>
    <row r="71" spans="2:30" ht="17.25" thickBot="1" x14ac:dyDescent="0.35">
      <c r="B71" s="108" t="s">
        <v>200</v>
      </c>
      <c r="C71" s="108"/>
      <c r="D71" s="108"/>
      <c r="E71" s="108"/>
      <c r="F71" s="108"/>
      <c r="G71" s="108"/>
      <c r="H71" s="258"/>
      <c r="I71" s="108"/>
      <c r="J71" s="33" t="s">
        <v>4</v>
      </c>
      <c r="K71" s="108" t="s">
        <v>7</v>
      </c>
      <c r="L71" s="108"/>
      <c r="M71" s="108"/>
      <c r="N71" s="108"/>
      <c r="O71" s="108"/>
      <c r="P71" s="108"/>
      <c r="Q71" s="108"/>
      <c r="R71" s="108"/>
      <c r="S71" s="108"/>
      <c r="T71" s="108"/>
      <c r="U71" s="108"/>
      <c r="V71" s="108"/>
      <c r="W71" s="117" t="str">
        <f>CONCATENATE(H71,"_",H73)</f>
        <v>_</v>
      </c>
      <c r="X71" s="117">
        <f>H72</f>
        <v>0</v>
      </c>
      <c r="Y71" s="117">
        <f>H73</f>
        <v>0</v>
      </c>
      <c r="Z71" s="117">
        <f>H74</f>
        <v>0</v>
      </c>
      <c r="AA71" s="117">
        <f>H75</f>
        <v>0</v>
      </c>
      <c r="AB71" s="122"/>
      <c r="AC71" s="124"/>
      <c r="AD71" s="34"/>
    </row>
    <row r="72" spans="2:30" ht="17.25" thickBot="1" x14ac:dyDescent="0.35">
      <c r="B72" s="108" t="s">
        <v>8</v>
      </c>
      <c r="C72" s="108"/>
      <c r="D72" s="108"/>
      <c r="E72" s="108"/>
      <c r="F72" s="108"/>
      <c r="G72" s="108"/>
      <c r="H72" s="258"/>
      <c r="I72" s="125"/>
      <c r="J72" s="33" t="s">
        <v>4</v>
      </c>
      <c r="K72"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72" s="108"/>
      <c r="M72" s="108"/>
      <c r="N72" s="108"/>
      <c r="O72" s="108"/>
      <c r="P72" s="108"/>
      <c r="Q72" s="108"/>
      <c r="R72" s="108"/>
      <c r="S72" s="108"/>
      <c r="T72" s="108"/>
      <c r="U72" s="108"/>
      <c r="V72" s="108"/>
      <c r="W72" s="108"/>
      <c r="X72" s="117"/>
      <c r="Y72" s="117"/>
      <c r="Z72" s="117"/>
      <c r="AA72" s="117"/>
      <c r="AB72" s="122"/>
      <c r="AC72" s="124"/>
      <c r="AD72" s="34"/>
    </row>
    <row r="73" spans="2:30" ht="17.25" thickBot="1" x14ac:dyDescent="0.35">
      <c r="B73" s="108" t="s">
        <v>10</v>
      </c>
      <c r="C73" s="108"/>
      <c r="D73" s="108"/>
      <c r="E73" s="108"/>
      <c r="F73" s="108"/>
      <c r="G73" s="108"/>
      <c r="H73" s="259"/>
      <c r="I73" s="108"/>
      <c r="J73" s="33" t="s">
        <v>4</v>
      </c>
      <c r="K73" s="108" t="s">
        <v>11</v>
      </c>
      <c r="L73" s="108"/>
      <c r="M73" s="108"/>
      <c r="N73" s="108"/>
      <c r="O73" s="108"/>
      <c r="P73" s="108"/>
      <c r="Q73" s="108"/>
      <c r="R73" s="108"/>
      <c r="S73" s="108"/>
      <c r="T73" s="108"/>
      <c r="U73" s="108"/>
      <c r="V73" s="108"/>
      <c r="W73" s="108"/>
      <c r="X73" s="117"/>
      <c r="Y73" s="117"/>
      <c r="Z73" s="117"/>
      <c r="AA73" s="117"/>
      <c r="AB73" s="122"/>
      <c r="AC73" s="124"/>
      <c r="AD73" s="34"/>
    </row>
    <row r="74" spans="2:30" ht="17.25" thickBot="1" x14ac:dyDescent="0.35">
      <c r="B74" s="108" t="str">
        <f>IF(ISBLANK(H73),"Bitte Energieart auswählen!","Nettorechnungsbetrag ("&amp;H73&amp;")")</f>
        <v>Bitte Energieart auswählen!</v>
      </c>
      <c r="C74" s="108"/>
      <c r="D74" s="108"/>
      <c r="E74" s="108"/>
      <c r="F74" s="108"/>
      <c r="G74" s="108"/>
      <c r="H74" s="260"/>
      <c r="I74" s="116" t="s">
        <v>12</v>
      </c>
      <c r="J74" s="33" t="s">
        <v>4</v>
      </c>
      <c r="K74" s="108" t="str">
        <f>IF(ISBLANK(H73),"Bitte Energieart auswählen!",H73 &amp; "kosten exkl. Steuern, Abgaben, Netzentgelte, etc.")</f>
        <v>Bitte Energieart auswählen!</v>
      </c>
      <c r="L74" s="108"/>
      <c r="M74" s="108"/>
      <c r="N74" s="108"/>
      <c r="O74" s="108"/>
      <c r="P74" s="108"/>
      <c r="Q74" s="108"/>
      <c r="R74" s="108"/>
      <c r="S74" s="108"/>
      <c r="T74" s="108"/>
      <c r="U74" s="108"/>
      <c r="V74" s="108"/>
      <c r="W74" s="108"/>
      <c r="X74" s="117"/>
      <c r="Y74" s="117"/>
      <c r="Z74" s="117"/>
      <c r="AA74" s="117"/>
      <c r="AB74" s="122"/>
      <c r="AC74" s="124"/>
      <c r="AD74" s="34"/>
    </row>
    <row r="75" spans="2:30" ht="17.25" thickBot="1" x14ac:dyDescent="0.35">
      <c r="B75" s="108" t="str">
        <f>IF(ISBLANK(H73),"Bitte Energieart auswählen!",IF(H72="Nein",H73&amp;"verbrauch in kWh gem. letzter Jahresabrechnung",H73&amp;"verbrauch in kWh im Kalenderjahr "&amp;par_Jahr1))</f>
        <v>Bitte Energieart auswählen!</v>
      </c>
      <c r="C75" s="108"/>
      <c r="D75" s="108"/>
      <c r="E75" s="108"/>
      <c r="F75" s="108"/>
      <c r="G75" s="108"/>
      <c r="H75" s="261"/>
      <c r="I75" s="116" t="s">
        <v>13</v>
      </c>
      <c r="J75" s="33" t="s">
        <v>4</v>
      </c>
      <c r="K75" s="108" t="str">
        <f>IF(H72="Nein","Den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75" s="108"/>
      <c r="M75" s="108"/>
      <c r="N75" s="108"/>
      <c r="O75" s="108"/>
      <c r="P75" s="108"/>
      <c r="Q75" s="108"/>
      <c r="R75" s="108"/>
      <c r="S75" s="108"/>
      <c r="T75" s="108"/>
      <c r="U75" s="108"/>
      <c r="V75" s="108"/>
      <c r="W75" s="108"/>
      <c r="X75" s="117"/>
      <c r="Y75" s="117"/>
      <c r="Z75" s="117"/>
      <c r="AA75" s="117"/>
      <c r="AB75" s="122"/>
      <c r="AC75" s="124"/>
      <c r="AD75" s="34"/>
    </row>
    <row r="76" spans="2:30" s="25" customFormat="1" ht="15" x14ac:dyDescent="0.25">
      <c r="B76" s="98"/>
      <c r="C76" s="98"/>
      <c r="D76" s="98"/>
      <c r="E76" s="98"/>
      <c r="F76" s="98"/>
      <c r="G76" s="98"/>
      <c r="H76" s="98"/>
      <c r="I76" s="98"/>
      <c r="J76" s="98"/>
      <c r="K76" s="98"/>
      <c r="L76" s="98"/>
      <c r="M76" s="98"/>
      <c r="N76" s="98"/>
      <c r="O76" s="98"/>
      <c r="P76" s="98"/>
      <c r="Q76" s="98"/>
      <c r="R76" s="98"/>
      <c r="S76" s="98"/>
      <c r="T76" s="98"/>
      <c r="U76" s="98"/>
      <c r="V76" s="98"/>
      <c r="W76" s="98"/>
      <c r="X76" s="117"/>
      <c r="Y76" s="117"/>
      <c r="Z76" s="117"/>
      <c r="AA76" s="117"/>
      <c r="AB76" s="122"/>
      <c r="AC76" s="94"/>
    </row>
    <row r="77" spans="2:30" ht="19.5" thickBot="1" x14ac:dyDescent="0.45">
      <c r="B77" s="82" t="s">
        <v>6</v>
      </c>
      <c r="C77" s="108"/>
      <c r="D77" s="108"/>
      <c r="E77" s="108"/>
      <c r="F77" s="108"/>
      <c r="G77" s="108"/>
      <c r="H77" s="108"/>
      <c r="I77" s="108"/>
      <c r="J77" s="108"/>
      <c r="K77" s="108"/>
      <c r="L77" s="108"/>
      <c r="M77" s="108"/>
      <c r="N77" s="108"/>
      <c r="O77" s="108"/>
      <c r="P77" s="108"/>
      <c r="Q77" s="108"/>
      <c r="R77" s="108"/>
      <c r="S77" s="108"/>
      <c r="T77" s="108"/>
      <c r="U77" s="108"/>
      <c r="V77" s="108"/>
      <c r="W77" s="108"/>
      <c r="X77" s="117"/>
      <c r="Y77" s="123"/>
      <c r="Z77" s="117"/>
      <c r="AA77" s="117"/>
      <c r="AB77" s="122"/>
      <c r="AC77" s="124"/>
      <c r="AD77" s="34"/>
    </row>
    <row r="78" spans="2:30" ht="17.25" thickBot="1" x14ac:dyDescent="0.35">
      <c r="B78" s="108" t="s">
        <v>200</v>
      </c>
      <c r="C78" s="108"/>
      <c r="D78" s="108"/>
      <c r="E78" s="108"/>
      <c r="F78" s="108"/>
      <c r="G78" s="108"/>
      <c r="H78" s="258"/>
      <c r="I78" s="108"/>
      <c r="J78" s="33" t="s">
        <v>4</v>
      </c>
      <c r="K78" s="108" t="s">
        <v>7</v>
      </c>
      <c r="L78" s="108"/>
      <c r="M78" s="108"/>
      <c r="N78" s="108"/>
      <c r="O78" s="108"/>
      <c r="P78" s="108"/>
      <c r="Q78" s="108"/>
      <c r="R78" s="108"/>
      <c r="S78" s="108"/>
      <c r="T78" s="108"/>
      <c r="U78" s="108"/>
      <c r="V78" s="108"/>
      <c r="W78" s="117" t="str">
        <f>CONCATENATE(H78,"_",H80)</f>
        <v>_</v>
      </c>
      <c r="X78" s="117">
        <f>H79</f>
        <v>0</v>
      </c>
      <c r="Y78" s="117">
        <f>H80</f>
        <v>0</v>
      </c>
      <c r="Z78" s="117">
        <f>H81</f>
        <v>0</v>
      </c>
      <c r="AA78" s="117">
        <f>H82</f>
        <v>0</v>
      </c>
      <c r="AB78" s="122"/>
      <c r="AC78" s="124"/>
      <c r="AD78" s="34"/>
    </row>
    <row r="79" spans="2:30" ht="17.25" thickBot="1" x14ac:dyDescent="0.35">
      <c r="B79" s="108" t="s">
        <v>8</v>
      </c>
      <c r="C79" s="108"/>
      <c r="D79" s="108"/>
      <c r="E79" s="108"/>
      <c r="F79" s="108"/>
      <c r="G79" s="108"/>
      <c r="H79" s="258"/>
      <c r="I79" s="125"/>
      <c r="J79" s="33" t="s">
        <v>4</v>
      </c>
      <c r="K79"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79" s="108"/>
      <c r="M79" s="108"/>
      <c r="N79" s="108"/>
      <c r="O79" s="108"/>
      <c r="P79" s="108"/>
      <c r="Q79" s="108"/>
      <c r="R79" s="108"/>
      <c r="S79" s="108"/>
      <c r="T79" s="108"/>
      <c r="U79" s="108"/>
      <c r="V79" s="108"/>
      <c r="W79" s="108"/>
      <c r="X79" s="117"/>
      <c r="Y79" s="117"/>
      <c r="Z79" s="117"/>
      <c r="AA79" s="117"/>
      <c r="AB79" s="122"/>
      <c r="AC79" s="124"/>
      <c r="AD79" s="34"/>
    </row>
    <row r="80" spans="2:30" ht="17.25" thickBot="1" x14ac:dyDescent="0.35">
      <c r="B80" s="108" t="s">
        <v>10</v>
      </c>
      <c r="C80" s="108"/>
      <c r="D80" s="108"/>
      <c r="E80" s="108"/>
      <c r="F80" s="108"/>
      <c r="G80" s="108"/>
      <c r="H80" s="259"/>
      <c r="I80" s="108"/>
      <c r="J80" s="33" t="s">
        <v>4</v>
      </c>
      <c r="K80" s="108" t="s">
        <v>11</v>
      </c>
      <c r="L80" s="108"/>
      <c r="M80" s="108"/>
      <c r="N80" s="108"/>
      <c r="O80" s="108"/>
      <c r="P80" s="108"/>
      <c r="Q80" s="108"/>
      <c r="R80" s="108"/>
      <c r="S80" s="108"/>
      <c r="T80" s="108"/>
      <c r="U80" s="108"/>
      <c r="V80" s="108"/>
      <c r="W80" s="108"/>
      <c r="X80" s="117"/>
      <c r="Y80" s="117"/>
      <c r="Z80" s="117"/>
      <c r="AA80" s="117"/>
      <c r="AB80" s="122"/>
      <c r="AC80" s="124"/>
      <c r="AD80" s="34"/>
    </row>
    <row r="81" spans="2:30" ht="17.25" thickBot="1" x14ac:dyDescent="0.35">
      <c r="B81" s="108" t="str">
        <f>IF(ISBLANK(H80),"Bitte Energieart auswählen!","Nettorechnungsbetrag ("&amp;H80&amp;")")</f>
        <v>Bitte Energieart auswählen!</v>
      </c>
      <c r="C81" s="108"/>
      <c r="D81" s="108"/>
      <c r="E81" s="108"/>
      <c r="F81" s="108"/>
      <c r="G81" s="108"/>
      <c r="H81" s="260"/>
      <c r="I81" s="116" t="s">
        <v>12</v>
      </c>
      <c r="J81" s="33" t="s">
        <v>4</v>
      </c>
      <c r="K81" s="108" t="str">
        <f>IF(ISBLANK(H80),"Bitte Energieart auswählen!",H80 &amp; "kosten exkl. Steuern, Abgaben, Netzentgelte, etc.")</f>
        <v>Bitte Energieart auswählen!</v>
      </c>
      <c r="L81" s="108"/>
      <c r="M81" s="108"/>
      <c r="N81" s="108"/>
      <c r="O81" s="108"/>
      <c r="P81" s="108"/>
      <c r="Q81" s="108"/>
      <c r="R81" s="108"/>
      <c r="S81" s="108"/>
      <c r="T81" s="108"/>
      <c r="U81" s="108"/>
      <c r="V81" s="108"/>
      <c r="W81" s="108"/>
      <c r="X81" s="117"/>
      <c r="Y81" s="117"/>
      <c r="Z81" s="117"/>
      <c r="AA81" s="117"/>
      <c r="AB81" s="122"/>
      <c r="AC81" s="124"/>
      <c r="AD81" s="34"/>
    </row>
    <row r="82" spans="2:30" ht="17.25" thickBot="1" x14ac:dyDescent="0.35">
      <c r="B82" s="108" t="str">
        <f>IF(ISBLANK(H80),"Bitte Energieart auswählen!",IF(H79="Nein",H80&amp;"verbrauch in kWh gem. letzter Jahresabrechnung",H80&amp;"verbrauch in kWh im Kalenderjahr "&amp;par_Jahr1))</f>
        <v>Bitte Energieart auswählen!</v>
      </c>
      <c r="C82" s="108"/>
      <c r="D82" s="108"/>
      <c r="E82" s="108"/>
      <c r="F82" s="108"/>
      <c r="G82" s="108"/>
      <c r="H82" s="261"/>
      <c r="I82" s="116" t="s">
        <v>13</v>
      </c>
      <c r="J82" s="33" t="s">
        <v>4</v>
      </c>
      <c r="K82" s="108" t="str">
        <f>IF(H79="Nein","Den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82" s="108"/>
      <c r="M82" s="108"/>
      <c r="N82" s="108"/>
      <c r="O82" s="108"/>
      <c r="P82" s="108"/>
      <c r="Q82" s="108"/>
      <c r="R82" s="108"/>
      <c r="S82" s="108"/>
      <c r="T82" s="108"/>
      <c r="U82" s="108"/>
      <c r="V82" s="108"/>
      <c r="W82" s="108"/>
      <c r="X82" s="117"/>
      <c r="Y82" s="117"/>
      <c r="Z82" s="117"/>
      <c r="AA82" s="117"/>
      <c r="AB82" s="122"/>
      <c r="AC82" s="124"/>
      <c r="AD82" s="34"/>
    </row>
    <row r="83" spans="2:30" s="25" customFormat="1" ht="15" x14ac:dyDescent="0.25">
      <c r="B83" s="98"/>
      <c r="C83" s="98"/>
      <c r="D83" s="98"/>
      <c r="E83" s="98"/>
      <c r="F83" s="98"/>
      <c r="G83" s="98"/>
      <c r="H83" s="98"/>
      <c r="I83" s="98"/>
      <c r="J83" s="98"/>
      <c r="K83" s="98"/>
      <c r="L83" s="98"/>
      <c r="M83" s="98"/>
      <c r="N83" s="98"/>
      <c r="O83" s="98"/>
      <c r="P83" s="98"/>
      <c r="Q83" s="98"/>
      <c r="R83" s="98"/>
      <c r="S83" s="98"/>
      <c r="T83" s="98"/>
      <c r="U83" s="98"/>
      <c r="V83" s="98"/>
      <c r="W83" s="98"/>
      <c r="X83" s="117"/>
      <c r="Y83" s="117"/>
      <c r="Z83" s="117"/>
      <c r="AA83" s="117"/>
      <c r="AB83" s="122"/>
      <c r="AC83" s="94"/>
    </row>
    <row r="84" spans="2:30" ht="19.5" thickBot="1" x14ac:dyDescent="0.45">
      <c r="B84" s="82" t="s">
        <v>6</v>
      </c>
      <c r="C84" s="108"/>
      <c r="D84" s="108"/>
      <c r="E84" s="108"/>
      <c r="F84" s="108"/>
      <c r="G84" s="108"/>
      <c r="H84" s="108"/>
      <c r="I84" s="108"/>
      <c r="J84" s="108"/>
      <c r="K84" s="108"/>
      <c r="L84" s="108"/>
      <c r="M84" s="108"/>
      <c r="N84" s="108"/>
      <c r="O84" s="108"/>
      <c r="P84" s="108"/>
      <c r="Q84" s="108"/>
      <c r="R84" s="108"/>
      <c r="S84" s="108"/>
      <c r="T84" s="108"/>
      <c r="U84" s="108"/>
      <c r="V84" s="108"/>
      <c r="W84" s="108"/>
      <c r="X84" s="117"/>
      <c r="Y84" s="123"/>
      <c r="Z84" s="117"/>
      <c r="AA84" s="117"/>
      <c r="AB84" s="122"/>
      <c r="AC84" s="124"/>
      <c r="AD84" s="34"/>
    </row>
    <row r="85" spans="2:30" ht="17.25" thickBot="1" x14ac:dyDescent="0.35">
      <c r="B85" s="108" t="s">
        <v>200</v>
      </c>
      <c r="C85" s="108"/>
      <c r="D85" s="108"/>
      <c r="E85" s="108"/>
      <c r="F85" s="108"/>
      <c r="G85" s="108"/>
      <c r="H85" s="258"/>
      <c r="I85" s="108"/>
      <c r="J85" s="33" t="s">
        <v>4</v>
      </c>
      <c r="K85" s="108" t="s">
        <v>7</v>
      </c>
      <c r="L85" s="108"/>
      <c r="M85" s="108"/>
      <c r="N85" s="108"/>
      <c r="O85" s="108"/>
      <c r="P85" s="108"/>
      <c r="Q85" s="108"/>
      <c r="R85" s="108"/>
      <c r="S85" s="108"/>
      <c r="T85" s="108"/>
      <c r="U85" s="108"/>
      <c r="V85" s="108"/>
      <c r="W85" s="117" t="str">
        <f>CONCATENATE(H85,"_",H87)</f>
        <v>_</v>
      </c>
      <c r="X85" s="117">
        <f>H86</f>
        <v>0</v>
      </c>
      <c r="Y85" s="117">
        <f>H87</f>
        <v>0</v>
      </c>
      <c r="Z85" s="117">
        <f>H88</f>
        <v>0</v>
      </c>
      <c r="AA85" s="117">
        <f>H89</f>
        <v>0</v>
      </c>
      <c r="AB85" s="122"/>
      <c r="AC85" s="124"/>
      <c r="AD85" s="34"/>
    </row>
    <row r="86" spans="2:30" ht="17.25" thickBot="1" x14ac:dyDescent="0.35">
      <c r="B86" s="108" t="s">
        <v>8</v>
      </c>
      <c r="C86" s="108"/>
      <c r="D86" s="108"/>
      <c r="E86" s="108"/>
      <c r="F86" s="108"/>
      <c r="G86" s="108"/>
      <c r="H86" s="258"/>
      <c r="I86" s="125"/>
      <c r="J86" s="33" t="s">
        <v>4</v>
      </c>
      <c r="K86"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86" s="108"/>
      <c r="M86" s="108"/>
      <c r="N86" s="108"/>
      <c r="O86" s="108"/>
      <c r="P86" s="108"/>
      <c r="Q86" s="108"/>
      <c r="R86" s="108"/>
      <c r="S86" s="108"/>
      <c r="T86" s="108"/>
      <c r="U86" s="108"/>
      <c r="V86" s="108"/>
      <c r="W86" s="108"/>
      <c r="X86" s="117"/>
      <c r="Y86" s="117"/>
      <c r="Z86" s="117"/>
      <c r="AA86" s="117"/>
      <c r="AB86" s="122"/>
      <c r="AC86" s="124"/>
      <c r="AD86" s="34"/>
    </row>
    <row r="87" spans="2:30" ht="17.25" thickBot="1" x14ac:dyDescent="0.35">
      <c r="B87" s="108" t="s">
        <v>10</v>
      </c>
      <c r="C87" s="108"/>
      <c r="D87" s="108"/>
      <c r="E87" s="108"/>
      <c r="F87" s="108"/>
      <c r="G87" s="108"/>
      <c r="H87" s="259"/>
      <c r="I87" s="108"/>
      <c r="J87" s="33" t="s">
        <v>4</v>
      </c>
      <c r="K87" s="108" t="s">
        <v>11</v>
      </c>
      <c r="L87" s="108"/>
      <c r="M87" s="108"/>
      <c r="N87" s="108"/>
      <c r="O87" s="108"/>
      <c r="P87" s="108"/>
      <c r="Q87" s="108"/>
      <c r="R87" s="108"/>
      <c r="S87" s="108"/>
      <c r="T87" s="108"/>
      <c r="U87" s="108"/>
      <c r="V87" s="108"/>
      <c r="W87" s="108"/>
      <c r="X87" s="117"/>
      <c r="Y87" s="117"/>
      <c r="Z87" s="117"/>
      <c r="AA87" s="117"/>
      <c r="AB87" s="122"/>
      <c r="AC87" s="124"/>
      <c r="AD87" s="34"/>
    </row>
    <row r="88" spans="2:30" ht="17.25" thickBot="1" x14ac:dyDescent="0.35">
      <c r="B88" s="108" t="str">
        <f>IF(ISBLANK(H87),"Bitte Energieart auswählen!","Nettorechnungsbetrag ("&amp;H87&amp;")")</f>
        <v>Bitte Energieart auswählen!</v>
      </c>
      <c r="C88" s="108"/>
      <c r="D88" s="108"/>
      <c r="E88" s="108"/>
      <c r="F88" s="108"/>
      <c r="G88" s="108"/>
      <c r="H88" s="260"/>
      <c r="I88" s="116" t="s">
        <v>12</v>
      </c>
      <c r="J88" s="33" t="s">
        <v>4</v>
      </c>
      <c r="K88" s="108" t="str">
        <f>IF(ISBLANK(H87),"Bitte Energieart auswählen!",H87 &amp; "kosten exkl. Steuern, Abgaben, Netzentgelte, etc.")</f>
        <v>Bitte Energieart auswählen!</v>
      </c>
      <c r="L88" s="108"/>
      <c r="M88" s="108"/>
      <c r="N88" s="108"/>
      <c r="O88" s="108"/>
      <c r="P88" s="108"/>
      <c r="Q88" s="108"/>
      <c r="R88" s="108"/>
      <c r="S88" s="108"/>
      <c r="T88" s="108"/>
      <c r="U88" s="108"/>
      <c r="V88" s="108"/>
      <c r="W88" s="108"/>
      <c r="X88" s="117"/>
      <c r="Y88" s="117"/>
      <c r="Z88" s="117"/>
      <c r="AA88" s="117"/>
      <c r="AB88" s="122"/>
      <c r="AC88" s="124"/>
      <c r="AD88" s="34"/>
    </row>
    <row r="89" spans="2:30" ht="17.25" thickBot="1" x14ac:dyDescent="0.35">
      <c r="B89" s="108" t="str">
        <f>IF(ISBLANK(H87),"Bitte Energieart auswählen!",IF(H86="Nein",H87&amp;"verbrauch in kWh gem. letzter Jahresabrechnung",H87&amp;"verbrauch in kWh im Kalenderjahr "&amp;par_Jahr1))</f>
        <v>Bitte Energieart auswählen!</v>
      </c>
      <c r="C89" s="108"/>
      <c r="D89" s="108"/>
      <c r="E89" s="108"/>
      <c r="F89" s="108"/>
      <c r="G89" s="108"/>
      <c r="H89" s="261"/>
      <c r="I89" s="116" t="s">
        <v>13</v>
      </c>
      <c r="J89" s="33" t="s">
        <v>4</v>
      </c>
      <c r="K89" s="108" t="str">
        <f>IF(H86="Nein","Den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89" s="108"/>
      <c r="M89" s="108"/>
      <c r="N89" s="108"/>
      <c r="O89" s="108"/>
      <c r="P89" s="108"/>
      <c r="Q89" s="108"/>
      <c r="R89" s="108"/>
      <c r="S89" s="108"/>
      <c r="T89" s="108"/>
      <c r="U89" s="108"/>
      <c r="V89" s="108"/>
      <c r="W89" s="108"/>
      <c r="X89" s="117"/>
      <c r="Y89" s="117"/>
      <c r="Z89" s="117"/>
      <c r="AA89" s="117"/>
      <c r="AB89" s="122"/>
      <c r="AC89" s="124"/>
      <c r="AD89" s="34"/>
    </row>
    <row r="90" spans="2:30" s="25" customFormat="1" ht="15" x14ac:dyDescent="0.25">
      <c r="B90" s="98"/>
      <c r="C90" s="98"/>
      <c r="D90" s="98"/>
      <c r="E90" s="98"/>
      <c r="F90" s="98"/>
      <c r="G90" s="98"/>
      <c r="H90" s="98"/>
      <c r="I90" s="98"/>
      <c r="J90" s="98"/>
      <c r="K90" s="98"/>
      <c r="L90" s="98"/>
      <c r="M90" s="98"/>
      <c r="N90" s="98"/>
      <c r="O90" s="98"/>
      <c r="P90" s="98"/>
      <c r="Q90" s="98"/>
      <c r="R90" s="98"/>
      <c r="S90" s="98"/>
      <c r="T90" s="98"/>
      <c r="U90" s="98"/>
      <c r="V90" s="98"/>
      <c r="W90" s="98"/>
      <c r="X90" s="117"/>
      <c r="Y90" s="117"/>
      <c r="Z90" s="117"/>
      <c r="AA90" s="117"/>
      <c r="AB90" s="122"/>
      <c r="AC90" s="94"/>
    </row>
    <row r="91" spans="2:30" ht="19.5" thickBot="1" x14ac:dyDescent="0.45">
      <c r="B91" s="82" t="s">
        <v>6</v>
      </c>
      <c r="C91" s="108"/>
      <c r="D91" s="108"/>
      <c r="E91" s="108"/>
      <c r="F91" s="108"/>
      <c r="G91" s="108"/>
      <c r="H91" s="108"/>
      <c r="I91" s="108"/>
      <c r="J91" s="108"/>
      <c r="K91" s="108"/>
      <c r="L91" s="108"/>
      <c r="M91" s="108"/>
      <c r="N91" s="108"/>
      <c r="O91" s="108"/>
      <c r="P91" s="108"/>
      <c r="Q91" s="108"/>
      <c r="R91" s="108"/>
      <c r="S91" s="108"/>
      <c r="T91" s="108"/>
      <c r="U91" s="108"/>
      <c r="V91" s="108"/>
      <c r="W91" s="108"/>
      <c r="X91" s="117"/>
      <c r="Y91" s="123"/>
      <c r="Z91" s="117"/>
      <c r="AA91" s="117"/>
      <c r="AB91" s="122"/>
      <c r="AC91" s="124"/>
      <c r="AD91" s="34"/>
    </row>
    <row r="92" spans="2:30" ht="17.25" thickBot="1" x14ac:dyDescent="0.35">
      <c r="B92" s="108" t="s">
        <v>200</v>
      </c>
      <c r="C92" s="108"/>
      <c r="D92" s="108"/>
      <c r="E92" s="108"/>
      <c r="F92" s="108"/>
      <c r="G92" s="108"/>
      <c r="H92" s="258"/>
      <c r="I92" s="108"/>
      <c r="J92" s="33" t="s">
        <v>4</v>
      </c>
      <c r="K92" s="108" t="s">
        <v>7</v>
      </c>
      <c r="L92" s="108"/>
      <c r="M92" s="108"/>
      <c r="N92" s="108"/>
      <c r="O92" s="108"/>
      <c r="P92" s="108"/>
      <c r="Q92" s="108"/>
      <c r="R92" s="108"/>
      <c r="S92" s="108"/>
      <c r="T92" s="108"/>
      <c r="U92" s="108"/>
      <c r="V92" s="108"/>
      <c r="W92" s="117" t="str">
        <f>CONCATENATE(H92,"_",H94)</f>
        <v>_</v>
      </c>
      <c r="X92" s="117">
        <f>H93</f>
        <v>0</v>
      </c>
      <c r="Y92" s="117">
        <f>H94</f>
        <v>0</v>
      </c>
      <c r="Z92" s="117">
        <f>H95</f>
        <v>0</v>
      </c>
      <c r="AA92" s="117">
        <f>H96</f>
        <v>0</v>
      </c>
      <c r="AB92" s="122"/>
      <c r="AC92" s="124"/>
      <c r="AD92" s="34"/>
    </row>
    <row r="93" spans="2:30" ht="17.25" thickBot="1" x14ac:dyDescent="0.35">
      <c r="B93" s="108" t="s">
        <v>8</v>
      </c>
      <c r="C93" s="108"/>
      <c r="D93" s="108"/>
      <c r="E93" s="108"/>
      <c r="F93" s="108"/>
      <c r="G93" s="108"/>
      <c r="H93" s="258"/>
      <c r="I93" s="125"/>
      <c r="J93" s="33" t="s">
        <v>4</v>
      </c>
      <c r="K93"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93" s="108"/>
      <c r="M93" s="108"/>
      <c r="N93" s="108"/>
      <c r="O93" s="108"/>
      <c r="P93" s="108"/>
      <c r="Q93" s="108"/>
      <c r="R93" s="108"/>
      <c r="S93" s="108"/>
      <c r="T93" s="108"/>
      <c r="U93" s="108"/>
      <c r="V93" s="108"/>
      <c r="W93" s="108"/>
      <c r="X93" s="117"/>
      <c r="Y93" s="117"/>
      <c r="Z93" s="117"/>
      <c r="AA93" s="117"/>
      <c r="AB93" s="122"/>
      <c r="AC93" s="124"/>
      <c r="AD93" s="34"/>
    </row>
    <row r="94" spans="2:30" ht="17.25" thickBot="1" x14ac:dyDescent="0.35">
      <c r="B94" s="108" t="s">
        <v>10</v>
      </c>
      <c r="C94" s="108"/>
      <c r="D94" s="108"/>
      <c r="E94" s="108"/>
      <c r="F94" s="108"/>
      <c r="G94" s="108"/>
      <c r="H94" s="259"/>
      <c r="I94" s="108"/>
      <c r="J94" s="33" t="s">
        <v>4</v>
      </c>
      <c r="K94" s="108" t="s">
        <v>11</v>
      </c>
      <c r="L94" s="108"/>
      <c r="M94" s="108"/>
      <c r="N94" s="108"/>
      <c r="O94" s="108"/>
      <c r="P94" s="108"/>
      <c r="Q94" s="108"/>
      <c r="R94" s="108"/>
      <c r="S94" s="108"/>
      <c r="T94" s="108"/>
      <c r="U94" s="108"/>
      <c r="V94" s="108"/>
      <c r="W94" s="108"/>
      <c r="X94" s="117"/>
      <c r="Y94" s="117"/>
      <c r="Z94" s="117"/>
      <c r="AA94" s="117"/>
      <c r="AB94" s="122"/>
      <c r="AC94" s="124"/>
      <c r="AD94" s="34"/>
    </row>
    <row r="95" spans="2:30" ht="17.25" thickBot="1" x14ac:dyDescent="0.35">
      <c r="B95" s="108" t="str">
        <f>IF(ISBLANK(H94),"Bitte Energieart auswählen!","Nettorechnungsbetrag ("&amp;H94&amp;")")</f>
        <v>Bitte Energieart auswählen!</v>
      </c>
      <c r="C95" s="108"/>
      <c r="D95" s="108"/>
      <c r="E95" s="108"/>
      <c r="F95" s="108"/>
      <c r="G95" s="108"/>
      <c r="H95" s="260"/>
      <c r="I95" s="116" t="s">
        <v>12</v>
      </c>
      <c r="J95" s="33" t="s">
        <v>4</v>
      </c>
      <c r="K95" s="108" t="str">
        <f>IF(ISBLANK(H94),"Bitte Energieart auswählen!",H94 &amp; "kosten exkl. Steuern, Abgaben, Netzentgelte, etc.")</f>
        <v>Bitte Energieart auswählen!</v>
      </c>
      <c r="L95" s="108"/>
      <c r="M95" s="108"/>
      <c r="N95" s="108"/>
      <c r="O95" s="108"/>
      <c r="P95" s="108"/>
      <c r="Q95" s="108"/>
      <c r="R95" s="108"/>
      <c r="S95" s="108"/>
      <c r="T95" s="108"/>
      <c r="U95" s="108"/>
      <c r="V95" s="108"/>
      <c r="W95" s="108"/>
      <c r="X95" s="117"/>
      <c r="Y95" s="117"/>
      <c r="Z95" s="117"/>
      <c r="AA95" s="117"/>
      <c r="AB95" s="122"/>
      <c r="AC95" s="124"/>
      <c r="AD95" s="34"/>
    </row>
    <row r="96" spans="2:30" ht="17.25" thickBot="1" x14ac:dyDescent="0.35">
      <c r="B96" s="108" t="str">
        <f>IF(ISBLANK(H94),"Bitte Energieart auswählen!",IF(H93="Nein",H94&amp;"verbrauch in kWh gem. letzter Jahresabrechnung",H94&amp;"verbrauch in kWh im Kalenderjahr "&amp;par_Jahr1))</f>
        <v>Bitte Energieart auswählen!</v>
      </c>
      <c r="C96" s="108"/>
      <c r="D96" s="108"/>
      <c r="E96" s="108"/>
      <c r="F96" s="108"/>
      <c r="G96" s="108"/>
      <c r="H96" s="261"/>
      <c r="I96" s="116" t="s">
        <v>13</v>
      </c>
      <c r="J96" s="33" t="s">
        <v>4</v>
      </c>
      <c r="K96" s="108" t="str">
        <f>IF(H93="Nein","Den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96" s="108"/>
      <c r="M96" s="108"/>
      <c r="N96" s="108"/>
      <c r="O96" s="108"/>
      <c r="P96" s="108"/>
      <c r="Q96" s="108"/>
      <c r="R96" s="108"/>
      <c r="S96" s="108"/>
      <c r="T96" s="108"/>
      <c r="U96" s="108"/>
      <c r="V96" s="108"/>
      <c r="W96" s="108"/>
      <c r="X96" s="117"/>
      <c r="Y96" s="117"/>
      <c r="Z96" s="117"/>
      <c r="AA96" s="117"/>
      <c r="AB96" s="122"/>
      <c r="AC96" s="124"/>
      <c r="AD96" s="34"/>
    </row>
    <row r="97" spans="2:30" s="25" customFormat="1" ht="15" x14ac:dyDescent="0.25">
      <c r="B97" s="98"/>
      <c r="C97" s="98"/>
      <c r="D97" s="98"/>
      <c r="E97" s="98"/>
      <c r="F97" s="98"/>
      <c r="G97" s="98"/>
      <c r="H97" s="98"/>
      <c r="I97" s="98"/>
      <c r="J97" s="98"/>
      <c r="K97" s="98"/>
      <c r="L97" s="98"/>
      <c r="M97" s="98"/>
      <c r="N97" s="98"/>
      <c r="O97" s="98"/>
      <c r="P97" s="98"/>
      <c r="Q97" s="98"/>
      <c r="R97" s="98"/>
      <c r="S97" s="98"/>
      <c r="T97" s="98"/>
      <c r="U97" s="98"/>
      <c r="V97" s="98"/>
      <c r="W97" s="98"/>
      <c r="X97" s="117"/>
      <c r="Y97" s="117"/>
      <c r="Z97" s="117"/>
      <c r="AA97" s="117"/>
      <c r="AB97" s="122"/>
      <c r="AC97" s="94"/>
    </row>
    <row r="98" spans="2:30" ht="19.5" thickBot="1" x14ac:dyDescent="0.45">
      <c r="B98" s="82" t="s">
        <v>6</v>
      </c>
      <c r="C98" s="108"/>
      <c r="D98" s="108"/>
      <c r="E98" s="108"/>
      <c r="F98" s="108"/>
      <c r="G98" s="108"/>
      <c r="H98" s="108"/>
      <c r="I98" s="108"/>
      <c r="J98" s="108"/>
      <c r="K98" s="108"/>
      <c r="L98" s="108"/>
      <c r="M98" s="108"/>
      <c r="N98" s="108"/>
      <c r="O98" s="108"/>
      <c r="P98" s="108"/>
      <c r="Q98" s="108"/>
      <c r="R98" s="108"/>
      <c r="S98" s="108"/>
      <c r="T98" s="108"/>
      <c r="U98" s="108"/>
      <c r="V98" s="108"/>
      <c r="W98" s="108"/>
      <c r="X98" s="117"/>
      <c r="Y98" s="123"/>
      <c r="Z98" s="117"/>
      <c r="AA98" s="117"/>
      <c r="AB98" s="122"/>
      <c r="AC98" s="124"/>
      <c r="AD98" s="34"/>
    </row>
    <row r="99" spans="2:30" ht="17.25" thickBot="1" x14ac:dyDescent="0.35">
      <c r="B99" s="108" t="s">
        <v>200</v>
      </c>
      <c r="C99" s="108"/>
      <c r="D99" s="108"/>
      <c r="E99" s="108"/>
      <c r="F99" s="108"/>
      <c r="G99" s="108"/>
      <c r="H99" s="258"/>
      <c r="I99" s="108"/>
      <c r="J99" s="33" t="s">
        <v>4</v>
      </c>
      <c r="K99" s="108" t="s">
        <v>7</v>
      </c>
      <c r="L99" s="108"/>
      <c r="M99" s="108"/>
      <c r="N99" s="108"/>
      <c r="O99" s="108"/>
      <c r="P99" s="108"/>
      <c r="Q99" s="108"/>
      <c r="R99" s="108"/>
      <c r="S99" s="108"/>
      <c r="T99" s="108"/>
      <c r="U99" s="108"/>
      <c r="V99" s="108"/>
      <c r="W99" s="117" t="str">
        <f>CONCATENATE(H99,"_",H101)</f>
        <v>_</v>
      </c>
      <c r="X99" s="117">
        <f>H100</f>
        <v>0</v>
      </c>
      <c r="Y99" s="117">
        <f>H101</f>
        <v>0</v>
      </c>
      <c r="Z99" s="117">
        <f>H102</f>
        <v>0</v>
      </c>
      <c r="AA99" s="117">
        <f>H103</f>
        <v>0</v>
      </c>
      <c r="AB99" s="122"/>
      <c r="AC99" s="124"/>
      <c r="AD99" s="34"/>
    </row>
    <row r="100" spans="2:30" ht="17.25" thickBot="1" x14ac:dyDescent="0.35">
      <c r="B100" s="108" t="s">
        <v>8</v>
      </c>
      <c r="C100" s="108"/>
      <c r="D100" s="108"/>
      <c r="E100" s="108"/>
      <c r="F100" s="108"/>
      <c r="G100" s="108"/>
      <c r="H100" s="258"/>
      <c r="I100" s="125"/>
      <c r="J100" s="33" t="s">
        <v>4</v>
      </c>
      <c r="K100"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100" s="108"/>
      <c r="M100" s="108"/>
      <c r="N100" s="108"/>
      <c r="O100" s="108"/>
      <c r="P100" s="108"/>
      <c r="Q100" s="108"/>
      <c r="R100" s="108"/>
      <c r="S100" s="108"/>
      <c r="T100" s="108"/>
      <c r="U100" s="108"/>
      <c r="V100" s="108"/>
      <c r="W100" s="108"/>
      <c r="X100" s="117"/>
      <c r="Y100" s="117"/>
      <c r="Z100" s="117"/>
      <c r="AA100" s="117"/>
      <c r="AB100" s="122"/>
      <c r="AC100" s="124"/>
      <c r="AD100" s="34"/>
    </row>
    <row r="101" spans="2:30" ht="17.25" thickBot="1" x14ac:dyDescent="0.35">
      <c r="B101" s="108" t="s">
        <v>10</v>
      </c>
      <c r="C101" s="108"/>
      <c r="D101" s="108"/>
      <c r="E101" s="108"/>
      <c r="F101" s="108"/>
      <c r="G101" s="108"/>
      <c r="H101" s="259"/>
      <c r="I101" s="108"/>
      <c r="J101" s="33" t="s">
        <v>4</v>
      </c>
      <c r="K101" s="108" t="s">
        <v>11</v>
      </c>
      <c r="L101" s="108"/>
      <c r="M101" s="108"/>
      <c r="N101" s="108"/>
      <c r="O101" s="108"/>
      <c r="P101" s="108"/>
      <c r="Q101" s="108"/>
      <c r="R101" s="108"/>
      <c r="S101" s="108"/>
      <c r="T101" s="108"/>
      <c r="U101" s="108"/>
      <c r="V101" s="108"/>
      <c r="W101" s="108"/>
      <c r="X101" s="117"/>
      <c r="Y101" s="117"/>
      <c r="Z101" s="117"/>
      <c r="AA101" s="117"/>
      <c r="AB101" s="122"/>
      <c r="AC101" s="124"/>
      <c r="AD101" s="34"/>
    </row>
    <row r="102" spans="2:30" ht="17.25" thickBot="1" x14ac:dyDescent="0.35">
      <c r="B102" s="108" t="str">
        <f>IF(ISBLANK(H101),"Bitte Energieart auswählen!","Nettorechnungsbetrag ("&amp;H101&amp;")")</f>
        <v>Bitte Energieart auswählen!</v>
      </c>
      <c r="C102" s="108"/>
      <c r="D102" s="108"/>
      <c r="E102" s="108"/>
      <c r="F102" s="108"/>
      <c r="G102" s="108"/>
      <c r="H102" s="260"/>
      <c r="I102" s="116" t="s">
        <v>12</v>
      </c>
      <c r="J102" s="33" t="s">
        <v>4</v>
      </c>
      <c r="K102" s="108" t="str">
        <f>IF(ISBLANK(H101),"Bitte Energieart auswählen!",H101 &amp; "kosten exkl. Steuern, Abgaben, Netzentgelte, etc.")</f>
        <v>Bitte Energieart auswählen!</v>
      </c>
      <c r="L102" s="108"/>
      <c r="M102" s="108"/>
      <c r="N102" s="108"/>
      <c r="O102" s="108"/>
      <c r="P102" s="108"/>
      <c r="Q102" s="108"/>
      <c r="R102" s="108"/>
      <c r="S102" s="108"/>
      <c r="T102" s="108"/>
      <c r="U102" s="108"/>
      <c r="V102" s="108"/>
      <c r="W102" s="108"/>
      <c r="X102" s="117"/>
      <c r="Y102" s="117"/>
      <c r="Z102" s="117"/>
      <c r="AA102" s="117"/>
      <c r="AB102" s="122"/>
      <c r="AC102" s="124"/>
      <c r="AD102" s="34"/>
    </row>
    <row r="103" spans="2:30" ht="17.25" thickBot="1" x14ac:dyDescent="0.35">
      <c r="B103" s="108" t="str">
        <f>IF(ISBLANK(H101),"Bitte Energieart auswählen!",IF(H100="Nein",H101&amp;"verbrauch in kWh gem. letzter Jahresabrechnung",H101&amp;"verbrauch in kWh im Kalenderjahr "&amp;par_Jahr1))</f>
        <v>Bitte Energieart auswählen!</v>
      </c>
      <c r="C103" s="108"/>
      <c r="D103" s="108"/>
      <c r="E103" s="108"/>
      <c r="F103" s="108"/>
      <c r="G103" s="108"/>
      <c r="H103" s="261"/>
      <c r="I103" s="116" t="s">
        <v>13</v>
      </c>
      <c r="J103" s="33" t="s">
        <v>4</v>
      </c>
      <c r="K103" s="108" t="str">
        <f>IF(H100="Nein","Den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103" s="108"/>
      <c r="M103" s="108"/>
      <c r="N103" s="108"/>
      <c r="O103" s="108"/>
      <c r="P103" s="108"/>
      <c r="Q103" s="108"/>
      <c r="R103" s="108"/>
      <c r="S103" s="108"/>
      <c r="T103" s="108"/>
      <c r="U103" s="108"/>
      <c r="V103" s="108"/>
      <c r="W103" s="108"/>
      <c r="X103" s="117"/>
      <c r="Y103" s="117"/>
      <c r="Z103" s="117"/>
      <c r="AA103" s="117"/>
      <c r="AB103" s="122"/>
      <c r="AC103" s="124"/>
      <c r="AD103" s="34"/>
    </row>
    <row r="104" spans="2:30" s="25" customFormat="1" ht="15" x14ac:dyDescent="0.25">
      <c r="B104" s="98"/>
      <c r="C104" s="98"/>
      <c r="D104" s="98"/>
      <c r="E104" s="98"/>
      <c r="F104" s="98"/>
      <c r="G104" s="98"/>
      <c r="H104" s="98"/>
      <c r="I104" s="98"/>
      <c r="J104" s="98"/>
      <c r="K104" s="98"/>
      <c r="L104" s="98"/>
      <c r="M104" s="98"/>
      <c r="N104" s="98"/>
      <c r="O104" s="98"/>
      <c r="P104" s="98"/>
      <c r="Q104" s="98"/>
      <c r="R104" s="98"/>
      <c r="S104" s="98"/>
      <c r="T104" s="98"/>
      <c r="U104" s="98"/>
      <c r="V104" s="98"/>
      <c r="W104" s="98"/>
      <c r="X104" s="117"/>
      <c r="Y104" s="117"/>
      <c r="Z104" s="117"/>
      <c r="AA104" s="117"/>
      <c r="AB104" s="122"/>
      <c r="AC104" s="94"/>
    </row>
    <row r="105" spans="2:30" ht="19.5" thickBot="1" x14ac:dyDescent="0.45">
      <c r="B105" s="82" t="s">
        <v>6</v>
      </c>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17"/>
      <c r="Y105" s="123"/>
      <c r="Z105" s="117"/>
      <c r="AA105" s="117"/>
      <c r="AB105" s="122"/>
      <c r="AC105" s="124"/>
      <c r="AD105" s="34"/>
    </row>
    <row r="106" spans="2:30" ht="17.25" thickBot="1" x14ac:dyDescent="0.35">
      <c r="B106" s="108" t="s">
        <v>200</v>
      </c>
      <c r="C106" s="108"/>
      <c r="D106" s="108"/>
      <c r="E106" s="108"/>
      <c r="F106" s="108"/>
      <c r="G106" s="108"/>
      <c r="H106" s="258"/>
      <c r="I106" s="108"/>
      <c r="J106" s="33" t="s">
        <v>4</v>
      </c>
      <c r="K106" s="108" t="s">
        <v>7</v>
      </c>
      <c r="L106" s="108"/>
      <c r="M106" s="108"/>
      <c r="N106" s="108"/>
      <c r="O106" s="108"/>
      <c r="P106" s="108"/>
      <c r="Q106" s="108"/>
      <c r="R106" s="108"/>
      <c r="S106" s="108"/>
      <c r="T106" s="108"/>
      <c r="U106" s="108"/>
      <c r="V106" s="108"/>
      <c r="W106" s="117" t="str">
        <f>CONCATENATE(H106,"_",H108)</f>
        <v>_</v>
      </c>
      <c r="X106" s="117">
        <f>H107</f>
        <v>0</v>
      </c>
      <c r="Y106" s="117">
        <f>H108</f>
        <v>0</v>
      </c>
      <c r="Z106" s="117">
        <f>H109</f>
        <v>0</v>
      </c>
      <c r="AA106" s="117">
        <f>H110</f>
        <v>0</v>
      </c>
      <c r="AB106" s="122"/>
      <c r="AC106" s="124"/>
      <c r="AD106" s="34"/>
    </row>
    <row r="107" spans="2:30" ht="17.25" thickBot="1" x14ac:dyDescent="0.35">
      <c r="B107" s="108" t="s">
        <v>8</v>
      </c>
      <c r="C107" s="108"/>
      <c r="D107" s="108"/>
      <c r="E107" s="108"/>
      <c r="F107" s="108"/>
      <c r="G107" s="108"/>
      <c r="H107" s="258"/>
      <c r="I107" s="125"/>
      <c r="J107" s="33" t="s">
        <v>4</v>
      </c>
      <c r="K107"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107" s="108"/>
      <c r="M107" s="108"/>
      <c r="N107" s="108"/>
      <c r="O107" s="108"/>
      <c r="P107" s="108"/>
      <c r="Q107" s="108"/>
      <c r="R107" s="108"/>
      <c r="S107" s="108"/>
      <c r="T107" s="108"/>
      <c r="U107" s="108"/>
      <c r="V107" s="108"/>
      <c r="W107" s="108"/>
      <c r="X107" s="117"/>
      <c r="Y107" s="117"/>
      <c r="Z107" s="117"/>
      <c r="AA107" s="117"/>
      <c r="AB107" s="122"/>
      <c r="AC107" s="124"/>
      <c r="AD107" s="34"/>
    </row>
    <row r="108" spans="2:30" ht="17.25" thickBot="1" x14ac:dyDescent="0.35">
      <c r="B108" s="108" t="s">
        <v>10</v>
      </c>
      <c r="C108" s="108"/>
      <c r="D108" s="108"/>
      <c r="E108" s="108"/>
      <c r="F108" s="108"/>
      <c r="G108" s="108"/>
      <c r="H108" s="259"/>
      <c r="I108" s="108"/>
      <c r="J108" s="33" t="s">
        <v>4</v>
      </c>
      <c r="K108" s="108" t="s">
        <v>11</v>
      </c>
      <c r="L108" s="108"/>
      <c r="M108" s="108"/>
      <c r="N108" s="108"/>
      <c r="O108" s="108"/>
      <c r="P108" s="108"/>
      <c r="Q108" s="108"/>
      <c r="R108" s="108"/>
      <c r="S108" s="108"/>
      <c r="T108" s="108"/>
      <c r="U108" s="108"/>
      <c r="V108" s="108"/>
      <c r="W108" s="108"/>
      <c r="X108" s="117"/>
      <c r="Y108" s="117"/>
      <c r="Z108" s="117"/>
      <c r="AA108" s="117"/>
      <c r="AB108" s="122"/>
      <c r="AC108" s="124"/>
      <c r="AD108" s="34"/>
    </row>
    <row r="109" spans="2:30" ht="17.25" thickBot="1" x14ac:dyDescent="0.35">
      <c r="B109" s="108" t="str">
        <f>IF(ISBLANK(H108),"Bitte Energieart auswählen!","Nettorechnungsbetrag ("&amp;H108&amp;")")</f>
        <v>Bitte Energieart auswählen!</v>
      </c>
      <c r="C109" s="108"/>
      <c r="D109" s="108"/>
      <c r="E109" s="108"/>
      <c r="F109" s="108"/>
      <c r="G109" s="108"/>
      <c r="H109" s="260"/>
      <c r="I109" s="116" t="s">
        <v>12</v>
      </c>
      <c r="J109" s="33" t="s">
        <v>4</v>
      </c>
      <c r="K109" s="108" t="str">
        <f>IF(ISBLANK(H108),"Bitte Energieart auswählen!",H108 &amp; "kosten exkl. Steuern, Abgaben, Netzentgelte, etc.")</f>
        <v>Bitte Energieart auswählen!</v>
      </c>
      <c r="L109" s="108"/>
      <c r="M109" s="108"/>
      <c r="N109" s="108"/>
      <c r="O109" s="108"/>
      <c r="P109" s="108"/>
      <c r="Q109" s="108"/>
      <c r="R109" s="108"/>
      <c r="S109" s="108"/>
      <c r="T109" s="108"/>
      <c r="U109" s="108"/>
      <c r="V109" s="108"/>
      <c r="W109" s="108"/>
      <c r="X109" s="117"/>
      <c r="Y109" s="117"/>
      <c r="Z109" s="117"/>
      <c r="AA109" s="117"/>
      <c r="AB109" s="122"/>
      <c r="AC109" s="124"/>
      <c r="AD109" s="34"/>
    </row>
    <row r="110" spans="2:30" ht="17.25" thickBot="1" x14ac:dyDescent="0.35">
      <c r="B110" s="108" t="str">
        <f>IF(ISBLANK(H108),"Bitte Energieart auswählen!",IF(H107="Nein",H108&amp;"verbrauch in kWh gem. letzter Jahresabrechnung",H108&amp;"verbrauch in kWh im Kalenderjahr "&amp;par_Jahr1))</f>
        <v>Bitte Energieart auswählen!</v>
      </c>
      <c r="C110" s="108"/>
      <c r="D110" s="108"/>
      <c r="E110" s="108"/>
      <c r="F110" s="108"/>
      <c r="G110" s="108"/>
      <c r="H110" s="261"/>
      <c r="I110" s="116" t="s">
        <v>13</v>
      </c>
      <c r="J110" s="33" t="s">
        <v>4</v>
      </c>
      <c r="K110" s="108" t="str">
        <f>IF(H107="Nein","Den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110" s="108"/>
      <c r="M110" s="108"/>
      <c r="N110" s="108"/>
      <c r="O110" s="108"/>
      <c r="P110" s="108"/>
      <c r="Q110" s="108"/>
      <c r="R110" s="108"/>
      <c r="S110" s="108"/>
      <c r="T110" s="108"/>
      <c r="U110" s="108"/>
      <c r="V110" s="108"/>
      <c r="W110" s="108"/>
      <c r="X110" s="117"/>
      <c r="Y110" s="117"/>
      <c r="Z110" s="117"/>
      <c r="AA110" s="117"/>
      <c r="AB110" s="122"/>
      <c r="AC110" s="124"/>
      <c r="AD110" s="34"/>
    </row>
    <row r="111" spans="2:30" s="25" customFormat="1" ht="15" x14ac:dyDescent="0.25">
      <c r="B111" s="98"/>
      <c r="C111" s="98"/>
      <c r="D111" s="98"/>
      <c r="E111" s="98"/>
      <c r="F111" s="98"/>
      <c r="G111" s="98"/>
      <c r="H111" s="98"/>
      <c r="I111" s="98"/>
      <c r="J111" s="98"/>
      <c r="K111" s="98"/>
      <c r="L111" s="98"/>
      <c r="M111" s="98"/>
      <c r="N111" s="98"/>
      <c r="O111" s="98"/>
      <c r="P111" s="98"/>
      <c r="Q111" s="98"/>
      <c r="R111" s="98"/>
      <c r="S111" s="98"/>
      <c r="T111" s="98"/>
      <c r="U111" s="98"/>
      <c r="V111" s="98"/>
      <c r="W111" s="98"/>
      <c r="X111" s="117"/>
      <c r="Y111" s="117"/>
      <c r="Z111" s="117"/>
      <c r="AA111" s="117"/>
      <c r="AB111" s="122"/>
      <c r="AC111" s="94"/>
    </row>
    <row r="112" spans="2:30" ht="19.5" thickBot="1" x14ac:dyDescent="0.45">
      <c r="B112" s="82" t="s">
        <v>6</v>
      </c>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17"/>
      <c r="Y112" s="123"/>
      <c r="Z112" s="117"/>
      <c r="AA112" s="117"/>
      <c r="AB112" s="122"/>
      <c r="AC112" s="124"/>
      <c r="AD112" s="34"/>
    </row>
    <row r="113" spans="2:30" ht="17.25" thickBot="1" x14ac:dyDescent="0.35">
      <c r="B113" s="108" t="s">
        <v>200</v>
      </c>
      <c r="C113" s="108"/>
      <c r="D113" s="108"/>
      <c r="E113" s="108"/>
      <c r="F113" s="108"/>
      <c r="G113" s="108"/>
      <c r="H113" s="258"/>
      <c r="I113" s="108"/>
      <c r="J113" s="33" t="s">
        <v>4</v>
      </c>
      <c r="K113" s="108" t="s">
        <v>7</v>
      </c>
      <c r="L113" s="108"/>
      <c r="M113" s="108"/>
      <c r="N113" s="108"/>
      <c r="O113" s="108"/>
      <c r="P113" s="108"/>
      <c r="Q113" s="108"/>
      <c r="R113" s="108"/>
      <c r="S113" s="108"/>
      <c r="T113" s="108"/>
      <c r="U113" s="108"/>
      <c r="V113" s="108"/>
      <c r="W113" s="117" t="str">
        <f>CONCATENATE(H113,"_",H115)</f>
        <v>_</v>
      </c>
      <c r="X113" s="117">
        <f>H114</f>
        <v>0</v>
      </c>
      <c r="Y113" s="117">
        <f>H115</f>
        <v>0</v>
      </c>
      <c r="Z113" s="117">
        <f>H116</f>
        <v>0</v>
      </c>
      <c r="AA113" s="117">
        <f>H117</f>
        <v>0</v>
      </c>
      <c r="AB113" s="122"/>
      <c r="AC113" s="124"/>
      <c r="AD113" s="34"/>
    </row>
    <row r="114" spans="2:30" ht="17.25" thickBot="1" x14ac:dyDescent="0.35">
      <c r="B114" s="108" t="s">
        <v>8</v>
      </c>
      <c r="C114" s="108"/>
      <c r="D114" s="108"/>
      <c r="E114" s="108"/>
      <c r="F114" s="108"/>
      <c r="G114" s="108"/>
      <c r="H114" s="258"/>
      <c r="I114" s="125"/>
      <c r="J114" s="33" t="s">
        <v>4</v>
      </c>
      <c r="K114" s="108" t="str">
        <f>"Ist ein Lastprofilzähler (Messgerät für Großkunden) oder ein genormtes intelligentes Messgerät mit monatlicher Abrechnung verfügbar, erfolgt die Zuschussberechnung gem. " &amp; par_SEW_Richtlinie &amp; "."</f>
        <v>Ist ein Lastprofilzähler (Messgerät für Großkunden) oder ein genormtes intelligentes Messgerät mit monatlicher Abrechnung verfügbar, erfolgt die Zuschussberechnung gem. Pkt. 9.1 bzw. Pkt. 9.4 der Richtlinie.</v>
      </c>
      <c r="L114" s="108"/>
      <c r="M114" s="108"/>
      <c r="N114" s="108"/>
      <c r="O114" s="108"/>
      <c r="P114" s="108"/>
      <c r="Q114" s="108"/>
      <c r="R114" s="108"/>
      <c r="S114" s="108"/>
      <c r="T114" s="108"/>
      <c r="U114" s="108"/>
      <c r="V114" s="108"/>
      <c r="W114" s="108"/>
      <c r="X114" s="117"/>
      <c r="Y114" s="117"/>
      <c r="Z114" s="117"/>
      <c r="AA114" s="117"/>
      <c r="AB114" s="122"/>
      <c r="AC114" s="124"/>
      <c r="AD114" s="34"/>
    </row>
    <row r="115" spans="2:30" ht="17.25" thickBot="1" x14ac:dyDescent="0.35">
      <c r="B115" s="108" t="s">
        <v>10</v>
      </c>
      <c r="C115" s="108"/>
      <c r="D115" s="108"/>
      <c r="E115" s="108"/>
      <c r="F115" s="108"/>
      <c r="G115" s="108"/>
      <c r="H115" s="259"/>
      <c r="I115" s="108"/>
      <c r="J115" s="33" t="s">
        <v>4</v>
      </c>
      <c r="K115" s="108" t="s">
        <v>11</v>
      </c>
      <c r="L115" s="108"/>
      <c r="M115" s="108"/>
      <c r="N115" s="108"/>
      <c r="O115" s="108"/>
      <c r="P115" s="108"/>
      <c r="Q115" s="108"/>
      <c r="R115" s="108"/>
      <c r="S115" s="108"/>
      <c r="T115" s="108"/>
      <c r="U115" s="108"/>
      <c r="V115" s="108"/>
      <c r="W115" s="108"/>
      <c r="X115" s="117"/>
      <c r="Y115" s="117"/>
      <c r="Z115" s="117"/>
      <c r="AA115" s="117"/>
      <c r="AB115" s="122"/>
      <c r="AC115" s="124"/>
      <c r="AD115" s="34"/>
    </row>
    <row r="116" spans="2:30" ht="17.25" thickBot="1" x14ac:dyDescent="0.35">
      <c r="B116" s="108" t="str">
        <f>IF(ISBLANK(H115),"Bitte Energieart auswählen!","Nettorechnungsbetrag ("&amp;H115&amp;")")</f>
        <v>Bitte Energieart auswählen!</v>
      </c>
      <c r="C116" s="108"/>
      <c r="D116" s="108"/>
      <c r="E116" s="108"/>
      <c r="F116" s="108"/>
      <c r="G116" s="108"/>
      <c r="H116" s="260"/>
      <c r="I116" s="116" t="s">
        <v>12</v>
      </c>
      <c r="J116" s="33" t="s">
        <v>4</v>
      </c>
      <c r="K116" s="108" t="str">
        <f>IF(ISBLANK(H115),"Bitte Energieart auswählen!",H115 &amp; "kosten exkl. Steuern, Abgaben, Netzentgelte, etc.")</f>
        <v>Bitte Energieart auswählen!</v>
      </c>
      <c r="L116" s="108"/>
      <c r="M116" s="108"/>
      <c r="N116" s="108"/>
      <c r="O116" s="108"/>
      <c r="P116" s="108"/>
      <c r="Q116" s="108"/>
      <c r="R116" s="108"/>
      <c r="S116" s="108"/>
      <c r="T116" s="108"/>
      <c r="U116" s="108"/>
      <c r="V116" s="108"/>
      <c r="W116" s="108"/>
      <c r="X116" s="117"/>
      <c r="Y116" s="117"/>
      <c r="Z116" s="117"/>
      <c r="AA116" s="117"/>
      <c r="AB116" s="122"/>
      <c r="AC116" s="124"/>
      <c r="AD116" s="34"/>
    </row>
    <row r="117" spans="2:30" ht="17.25" thickBot="1" x14ac:dyDescent="0.35">
      <c r="B117" s="108" t="str">
        <f>IF(ISBLANK(H115),"Bitte Energieart auswählen!",IF(H114="Nein",H115&amp;"verbrauch in kWh gem. letzter Jahresabrechnung",H115&amp;"verbrauch in kWh im Kalenderjahr "&amp;par_Jahr1))</f>
        <v>Bitte Energieart auswählen!</v>
      </c>
      <c r="C117" s="108"/>
      <c r="D117" s="108"/>
      <c r="E117" s="108"/>
      <c r="F117" s="108"/>
      <c r="G117" s="108"/>
      <c r="H117" s="261"/>
      <c r="I117" s="116" t="s">
        <v>13</v>
      </c>
      <c r="J117" s="33" t="s">
        <v>4</v>
      </c>
      <c r="K117" s="108" t="str">
        <f>IF(H114="Nein","Den Verbrauch entnehmen Sie bitte der Jahresabrechnung 2021, deren Abrechnungszeitraum zwischen " &amp; TEXT(EOMONTH(par_VZ_SEW_Start,0),"t. MMMM jjjj") &amp; " und " &amp;   TEXT(EOMONTH(par_VZ_SEW_Ende+1,0),"t. MMMM jjjj") &amp; " endet.","Bitte geben Sie den Jahresverbrauch für den gesamten Zeitraum von " &amp; TEXT(par_VZ_SEW_Start,"t. MMMM jjjj") &amp; " bis " &amp;   TEXT(par_VZ_SEW_Ende,"t. MMMM jjjj") &amp; " an.")</f>
        <v>Bitte geben Sie den Jahresverbrauch für den gesamten Zeitraum von 1. Jänner 2021 bis 31. Dezember 2021 an.</v>
      </c>
      <c r="L117" s="108"/>
      <c r="M117" s="108"/>
      <c r="N117" s="108"/>
      <c r="O117" s="108"/>
      <c r="P117" s="108"/>
      <c r="Q117" s="108"/>
      <c r="R117" s="108"/>
      <c r="S117" s="108"/>
      <c r="T117" s="108"/>
      <c r="U117" s="108"/>
      <c r="V117" s="108"/>
      <c r="W117" s="108"/>
      <c r="X117" s="117"/>
      <c r="Y117" s="117"/>
      <c r="Z117" s="117"/>
      <c r="AA117" s="117"/>
      <c r="AB117" s="122"/>
      <c r="AC117" s="124"/>
      <c r="AD117" s="34"/>
    </row>
    <row r="118" spans="2:30" s="25" customFormat="1" ht="15" x14ac:dyDescent="0.25">
      <c r="B118" s="98"/>
      <c r="C118" s="98"/>
      <c r="D118" s="98"/>
      <c r="E118" s="98"/>
      <c r="F118" s="98"/>
      <c r="G118" s="98"/>
      <c r="H118" s="98"/>
      <c r="I118" s="98"/>
      <c r="J118" s="98"/>
      <c r="K118" s="98"/>
      <c r="L118" s="98"/>
      <c r="M118" s="98"/>
      <c r="N118" s="98"/>
      <c r="O118" s="98"/>
      <c r="P118" s="98"/>
      <c r="Q118" s="98"/>
      <c r="R118" s="98"/>
      <c r="S118" s="98"/>
      <c r="T118" s="98"/>
      <c r="U118" s="98"/>
      <c r="V118" s="98"/>
      <c r="W118" s="98"/>
      <c r="X118" s="117"/>
      <c r="Y118" s="117"/>
      <c r="Z118" s="117"/>
      <c r="AA118" s="117"/>
      <c r="AB118" s="122"/>
      <c r="AC118" s="94"/>
    </row>
  </sheetData>
  <sheetProtection algorithmName="SHA-512" hashValue="sVV9KLgoIkVELz7CoZCa//V4cZNNDAADfctaHn78LzQLqxxs0at3UsSVCrNX6ujpqKvFYVXht5mGVCosf67D7Q==" saltValue="cdqW3+LlpQiAtU/w/5Ajfg==" spinCount="100000" sheet="1" objects="1" scenarios="1" formatCells="0"/>
  <mergeCells count="1">
    <mergeCell ref="E9:H9"/>
  </mergeCells>
  <conditionalFormatting sqref="E9:E11">
    <cfRule type="cellIs" dxfId="102" priority="16" operator="equal">
      <formula>"Keine Eingaben erforderlich"</formula>
    </cfRule>
    <cfRule type="cellIs" dxfId="101" priority="17" operator="equal">
      <formula>"Eingaben vorhanden"</formula>
    </cfRule>
    <cfRule type="cellIs" dxfId="100" priority="18" operator="equal">
      <formula>"Eingaben offen"</formula>
    </cfRule>
  </conditionalFormatting>
  <conditionalFormatting sqref="H6:H7">
    <cfRule type="cellIs" dxfId="99" priority="13" operator="equal">
      <formula>"Keine Eingaben erforderlich"</formula>
    </cfRule>
    <cfRule type="cellIs" dxfId="98" priority="14" operator="equal">
      <formula>"Eingaben vorhanden"</formula>
    </cfRule>
    <cfRule type="cellIs" dxfId="97" priority="15" operator="equal">
      <formula>"Eingaben offen"</formula>
    </cfRule>
  </conditionalFormatting>
  <conditionalFormatting sqref="H21:K21">
    <cfRule type="expression" dxfId="96" priority="1">
      <formula>SEARCH("JA",$AA21)</formula>
    </cfRule>
  </conditionalFormatting>
  <conditionalFormatting sqref="H26:K26">
    <cfRule type="expression" dxfId="95" priority="2">
      <formula>SEARCH("JA",$AA26)</formula>
    </cfRule>
  </conditionalFormatting>
  <conditionalFormatting sqref="H31:K31">
    <cfRule type="expression" dxfId="94" priority="3">
      <formula>SEARCH("JA",$AA31)</formula>
    </cfRule>
  </conditionalFormatting>
  <dataValidations count="6">
    <dataValidation type="textLength" errorStyle="information" operator="equal" allowBlank="1" showErrorMessage="1" errorTitle="Achtung" error="Bitte geben Sie nur die letzten vier Stellen Ihrer Zählpunktnummer an." sqref="V14:V15 V9:V11" xr:uid="{00000000-0002-0000-0100-000000000000}">
      <formula1>4</formula1>
    </dataValidation>
    <dataValidation type="whole" errorStyle="information" allowBlank="1" showErrorMessage="1" errorTitle="Achtung" error="Bitte geben Sie nur die letzten vier Stellen Ihrer Zählpunktnummer an." sqref="H36 H57 H113 H99 H106 H50 H43 H64 H71 H78 H85 H92" xr:uid="{00000000-0002-0000-0100-000002000000}">
      <formula1>0</formula1>
      <formula2>9999</formula2>
    </dataValidation>
    <dataValidation type="decimal" errorStyle="information" operator="greaterThanOrEqual" allowBlank="1" showInputMessage="1" showErrorMessage="1" errorTitle="Bitte beachten Sie" error="Negative Werte sind unzulässig" sqref="H54 H40 H61 H117 H103 H110 H47 H68 H75 H82 H89 H96" xr:uid="{00000000-0002-0000-0100-000003000000}">
      <formula1>0</formula1>
    </dataValidation>
    <dataValidation type="list" allowBlank="1" showInputMessage="1" showErrorMessage="1" sqref="H101 H59 H115 H38 H108 H52 H45 H66 H73 H80 H87 H94" xr:uid="{00000000-0002-0000-0100-000004000000}">
      <formula1>Energieart</formula1>
    </dataValidation>
    <dataValidation type="decimal" errorStyle="information" operator="greaterThanOrEqual" allowBlank="1" showInputMessage="1" showErrorMessage="1" errorTitle="Bitte beachten Sie" error="Bitte erfassen Sie den kompletten Rechnungsbetrag (exkl. Steuern, Abgaben, Netzentgelte, etc.)." sqref="H39 H60 H116 H102 H109 H46 H53 H67 H74 H81 H88 H95" xr:uid="{00000000-0002-0000-0100-000005000000}">
      <formula1>1</formula1>
    </dataValidation>
    <dataValidation type="list" operator="equal" allowBlank="1" showErrorMessage="1" errorTitle="Achtung" error="Bitte hier nur &quot;Ja&quot; oder &quot;Nein&quot; auswählen" sqref="H100 H37 H107 H114 H44 H51 H58 H65 H72 H79 H86 H93" xr:uid="{53E1339D-B45C-4863-8A7E-0659BD2E00F9}">
      <formula1>Lastprofilzähler</formula1>
    </dataValidation>
  </dataValidations>
  <pageMargins left="0.70866141732283472" right="0.70866141732283472" top="0.78740157480314965" bottom="0.78740157480314965" header="0.31496062992125984" footer="0.31496062992125984"/>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AA137"/>
  <sheetViews>
    <sheetView showGridLines="0" zoomScale="85" zoomScaleNormal="85" zoomScaleSheetLayoutView="25" workbookViewId="0"/>
  </sheetViews>
  <sheetFormatPr baseColWidth="10" defaultColWidth="10.7109375" defaultRowHeight="16.5" x14ac:dyDescent="0.3"/>
  <cols>
    <col min="1" max="1" width="2.42578125" style="25" customWidth="1"/>
    <col min="2" max="2" width="56.7109375" style="25" customWidth="1"/>
    <col min="3" max="4" width="10.7109375" style="25"/>
    <col min="5" max="5" width="14.28515625" style="25" customWidth="1"/>
    <col min="6" max="6" width="17.85546875" style="25" customWidth="1"/>
    <col min="7" max="7" width="15.42578125" style="41" customWidth="1"/>
    <col min="8" max="8" width="19.28515625" style="25" customWidth="1"/>
    <col min="9" max="9" width="11.42578125" style="25" customWidth="1"/>
    <col min="10" max="11" width="10.7109375" style="25"/>
    <col min="12" max="12" width="11.42578125" style="25" customWidth="1"/>
    <col min="13" max="14" width="10.7109375" style="25"/>
    <col min="15" max="15" width="19.42578125" style="25" customWidth="1"/>
    <col min="16" max="20" width="10.7109375" style="25"/>
    <col min="21" max="21" width="16.7109375" style="25" customWidth="1"/>
    <col min="22" max="26" width="10.7109375" style="25"/>
    <col min="27" max="27" width="12.42578125" style="25" customWidth="1"/>
    <col min="28" max="16384" width="10.7109375" style="25"/>
  </cols>
  <sheetData>
    <row r="2" spans="1:27" ht="27" x14ac:dyDescent="0.5">
      <c r="B2" s="27" t="s">
        <v>0</v>
      </c>
    </row>
    <row r="3" spans="1:27" ht="18.75" x14ac:dyDescent="0.3">
      <c r="B3" s="28" t="str">
        <f>"In vier Schritten zur Berechnung Ihres möglichen Zuschusses in der " &amp; par_EZ_Stufe &amp; " (für Unternehmen mit Energie-, Strom- und Treibstoffbeschaffungskosten bis EUR " &amp; par_EZ_Grenze_txt &amp; ".)"</f>
        <v>In vier Schritten zur Berechnung Ihres möglichen Zuschusses in der Basisstufe (für Unternehmen mit Energie-, Strom- und Treibstoffbeschaffungskosten bis EUR 80 Mio.)</v>
      </c>
    </row>
    <row r="6" spans="1:27" s="34" customFormat="1" ht="18.75" x14ac:dyDescent="0.4">
      <c r="A6" s="25"/>
      <c r="B6" s="36" t="s">
        <v>19</v>
      </c>
      <c r="C6" s="32"/>
      <c r="D6" s="32"/>
      <c r="E6" s="32"/>
      <c r="F6" s="32"/>
      <c r="G6" s="42"/>
      <c r="H6" s="32"/>
      <c r="I6" s="32"/>
      <c r="J6" s="32"/>
      <c r="K6" s="32"/>
      <c r="L6" s="32"/>
      <c r="M6" s="32"/>
      <c r="N6" s="32"/>
      <c r="O6" s="32"/>
      <c r="P6" s="32"/>
      <c r="Q6" s="32"/>
      <c r="R6" s="32"/>
      <c r="S6" s="32"/>
      <c r="T6" s="32"/>
      <c r="U6" s="32"/>
      <c r="V6" s="32"/>
      <c r="W6" s="86"/>
      <c r="X6" s="86"/>
      <c r="Y6" s="86"/>
      <c r="Z6" s="86"/>
      <c r="AA6" s="86"/>
    </row>
    <row r="7" spans="1:27" s="34" customFormat="1" x14ac:dyDescent="0.3">
      <c r="A7" s="25"/>
      <c r="B7" s="32"/>
      <c r="C7" s="32"/>
      <c r="D7" s="32"/>
      <c r="E7" s="32"/>
      <c r="F7" s="32"/>
      <c r="G7" s="42"/>
      <c r="H7" s="32"/>
      <c r="I7" s="32"/>
      <c r="J7" s="32"/>
      <c r="K7" s="32"/>
      <c r="L7" s="32"/>
      <c r="M7" s="32"/>
      <c r="N7" s="32"/>
      <c r="O7" s="32"/>
      <c r="P7" s="32"/>
      <c r="Q7" s="32"/>
      <c r="R7" s="32"/>
      <c r="S7" s="32"/>
      <c r="T7" s="32"/>
      <c r="U7" s="32"/>
      <c r="V7" s="32"/>
      <c r="W7" s="86"/>
      <c r="X7" s="86"/>
      <c r="Y7" s="86"/>
      <c r="Z7" s="86"/>
      <c r="AA7" s="86"/>
    </row>
    <row r="8" spans="1:27" s="34" customFormat="1" x14ac:dyDescent="0.3">
      <c r="A8" s="25"/>
      <c r="B8" s="108" t="str">
        <f>"Im zweiten Schritt ersuchen wir Sie um Angaben zum Arbeitspreis und zum Energieverbrauch im Förderungszeitraum. Der Förderungszeitraum erstreckt sich von "&amp;TEXT(par_FZ_SEW_Start,"t. MMMM")&amp;" bis "&amp;TEXT(par_FZ_SEW_Ende,"t. MMMM jjjj"&amp;".")</f>
        <v>Im zweiten Schritt ersuchen wir Sie um Angaben zum Arbeitspreis und zum Energieverbrauch im Förderungszeitraum. Der Förderungszeitraum erstreckt sich von 1. Jänner bis 30. Juni 2023.</v>
      </c>
      <c r="C8" s="108"/>
      <c r="D8" s="108"/>
      <c r="E8" s="108"/>
      <c r="F8" s="108"/>
      <c r="G8" s="132"/>
      <c r="H8" s="108"/>
      <c r="I8" s="108"/>
      <c r="J8" s="108"/>
      <c r="K8" s="108"/>
      <c r="L8" s="32"/>
      <c r="M8" s="32"/>
      <c r="N8" s="32"/>
      <c r="O8" s="32"/>
      <c r="P8" s="32"/>
      <c r="Q8" s="32"/>
      <c r="R8" s="32"/>
      <c r="S8" s="32"/>
      <c r="T8" s="43"/>
      <c r="U8" s="32"/>
      <c r="V8" s="32"/>
      <c r="W8" s="86"/>
      <c r="X8" s="86"/>
      <c r="Y8" s="86"/>
      <c r="Z8" s="86"/>
      <c r="AA8" s="86"/>
    </row>
    <row r="9" spans="1:27" s="34" customFormat="1" x14ac:dyDescent="0.3">
      <c r="A9" s="25"/>
      <c r="B9" s="108" t="s">
        <v>199</v>
      </c>
      <c r="C9" s="108"/>
      <c r="D9" s="108"/>
      <c r="E9" s="108"/>
      <c r="F9" s="108"/>
      <c r="G9" s="132"/>
      <c r="H9" s="108"/>
      <c r="I9" s="108"/>
      <c r="J9" s="108"/>
      <c r="K9" s="108"/>
      <c r="L9" s="32"/>
      <c r="M9" s="32"/>
      <c r="N9" s="32"/>
      <c r="O9" s="32"/>
      <c r="P9" s="32"/>
      <c r="Q9" s="32"/>
      <c r="R9" s="32"/>
      <c r="S9" s="32"/>
      <c r="T9" s="43"/>
      <c r="U9" s="32"/>
      <c r="V9" s="32"/>
      <c r="W9" s="86"/>
      <c r="X9" s="86"/>
      <c r="Y9" s="86"/>
      <c r="Z9" s="86"/>
      <c r="AA9" s="86"/>
    </row>
    <row r="10" spans="1:27" s="34" customFormat="1" ht="17.25" thickBot="1" x14ac:dyDescent="0.35">
      <c r="A10" s="25"/>
      <c r="B10" s="37"/>
      <c r="C10" s="37"/>
      <c r="D10" s="37"/>
      <c r="E10" s="37"/>
      <c r="F10" s="37"/>
      <c r="G10" s="44"/>
      <c r="H10" s="37"/>
      <c r="I10" s="37"/>
      <c r="J10" s="37"/>
      <c r="K10" s="37"/>
      <c r="L10" s="37"/>
      <c r="M10" s="37"/>
      <c r="N10" s="37"/>
      <c r="O10" s="37"/>
      <c r="P10" s="37"/>
      <c r="Q10" s="37"/>
      <c r="R10" s="37"/>
      <c r="S10" s="37"/>
      <c r="T10" s="37"/>
      <c r="U10" s="37"/>
      <c r="V10" s="37"/>
      <c r="W10" s="37"/>
      <c r="X10" s="37"/>
      <c r="Y10" s="37"/>
      <c r="Z10" s="37"/>
      <c r="AA10" s="37"/>
    </row>
    <row r="11" spans="1:27" s="34" customFormat="1" x14ac:dyDescent="0.3">
      <c r="A11" s="25"/>
      <c r="B11" s="32"/>
      <c r="C11" s="32"/>
      <c r="D11" s="32"/>
      <c r="E11" s="32"/>
      <c r="F11" s="32"/>
      <c r="G11" s="42"/>
      <c r="H11" s="32"/>
      <c r="I11" s="32"/>
      <c r="J11" s="32"/>
      <c r="K11" s="32"/>
      <c r="L11" s="32"/>
      <c r="M11" s="32"/>
      <c r="N11" s="32"/>
      <c r="O11" s="32"/>
      <c r="P11" s="32"/>
      <c r="Q11" s="32"/>
      <c r="R11" s="32"/>
      <c r="S11" s="32"/>
      <c r="T11" s="32"/>
      <c r="U11" s="32"/>
      <c r="V11" s="32"/>
      <c r="W11" s="86"/>
      <c r="X11" s="86"/>
      <c r="Y11" s="86"/>
      <c r="Z11" s="86"/>
      <c r="AA11" s="86"/>
    </row>
    <row r="12" spans="1:27" s="34" customFormat="1" ht="18.75" x14ac:dyDescent="0.4">
      <c r="A12" s="25"/>
      <c r="B12" s="36" t="s">
        <v>15</v>
      </c>
      <c r="C12" s="32"/>
      <c r="D12" s="32"/>
      <c r="E12" s="32"/>
      <c r="F12" s="53"/>
      <c r="G12" s="54"/>
      <c r="H12" s="53"/>
      <c r="I12" s="32"/>
      <c r="J12" s="32"/>
      <c r="K12" s="32"/>
      <c r="L12" s="32"/>
      <c r="M12" s="32"/>
      <c r="N12" s="32"/>
      <c r="O12" s="54"/>
      <c r="P12" s="42"/>
      <c r="Q12" s="55"/>
      <c r="R12" s="42"/>
      <c r="S12" s="42"/>
      <c r="T12" s="42"/>
      <c r="U12" s="42"/>
      <c r="V12" s="32"/>
      <c r="W12" s="86"/>
      <c r="X12" s="86"/>
      <c r="Y12" s="86"/>
      <c r="Z12" s="86"/>
      <c r="AA12" s="86"/>
    </row>
    <row r="13" spans="1:27" s="34" customFormat="1" x14ac:dyDescent="0.3">
      <c r="A13" s="25"/>
      <c r="B13" s="108" t="s">
        <v>22</v>
      </c>
      <c r="C13" s="32"/>
      <c r="D13" s="32"/>
      <c r="E13" s="32"/>
      <c r="F13" s="53"/>
      <c r="G13" s="54"/>
      <c r="H13" s="38">
        <f>SUMIFS(H:H,B:B,"Aliquoter " &amp; B12 &amp; "verbrauch in kWh " &amp; par_FZ_Text)</f>
        <v>0</v>
      </c>
      <c r="I13" s="39" t="s">
        <v>13</v>
      </c>
      <c r="J13" s="33" t="s">
        <v>4</v>
      </c>
      <c r="K13" s="108" t="s">
        <v>23</v>
      </c>
      <c r="L13" s="119"/>
      <c r="M13" s="109"/>
      <c r="N13" s="32"/>
      <c r="O13" s="54"/>
      <c r="P13" s="42"/>
      <c r="Q13" s="55"/>
      <c r="R13" s="42"/>
      <c r="S13" s="42"/>
      <c r="T13" s="42"/>
      <c r="U13" s="42"/>
      <c r="V13" s="32"/>
      <c r="W13" s="86"/>
      <c r="X13" s="86"/>
      <c r="Y13" s="86"/>
      <c r="Z13" s="86"/>
      <c r="AA13" s="86"/>
    </row>
    <row r="14" spans="1:27" s="34" customFormat="1" x14ac:dyDescent="0.3">
      <c r="A14" s="25"/>
      <c r="B14" s="108" t="s">
        <v>24</v>
      </c>
      <c r="C14" s="32"/>
      <c r="D14" s="32"/>
      <c r="E14" s="32"/>
      <c r="F14" s="53"/>
      <c r="G14" s="54"/>
      <c r="H14" s="38">
        <f>SUMIFS(H:H,B:B,B12 &amp; "verbrauch in kWh " &amp; par_FZ_Text)</f>
        <v>0</v>
      </c>
      <c r="I14" s="39" t="s">
        <v>13</v>
      </c>
      <c r="J14" s="32"/>
      <c r="K14" s="108"/>
      <c r="L14" s="119"/>
      <c r="M14" s="108"/>
      <c r="N14" s="32"/>
      <c r="O14" s="54"/>
      <c r="P14" s="42"/>
      <c r="Q14" s="55"/>
      <c r="R14" s="42"/>
      <c r="S14" s="42"/>
      <c r="T14" s="42"/>
      <c r="U14" s="42"/>
      <c r="V14" s="32"/>
      <c r="W14" s="86"/>
      <c r="X14" s="86"/>
      <c r="Y14" s="86"/>
      <c r="Z14" s="86"/>
      <c r="AA14" s="86"/>
    </row>
    <row r="15" spans="1:27" s="34" customFormat="1" x14ac:dyDescent="0.3">
      <c r="A15" s="25"/>
      <c r="B15" s="108" t="s">
        <v>25</v>
      </c>
      <c r="C15" s="32"/>
      <c r="D15" s="32"/>
      <c r="E15" s="32"/>
      <c r="F15" s="32"/>
      <c r="G15" s="42"/>
      <c r="H15" s="38">
        <f>SUM(H13:H14)</f>
        <v>0</v>
      </c>
      <c r="I15" s="39" t="s">
        <v>13</v>
      </c>
      <c r="J15" s="32"/>
      <c r="K15" s="108"/>
      <c r="L15" s="119"/>
      <c r="M15" s="108"/>
      <c r="N15" s="32"/>
      <c r="O15" s="42"/>
      <c r="P15" s="42"/>
      <c r="Q15" s="42"/>
      <c r="R15" s="42"/>
      <c r="S15" s="42"/>
      <c r="T15" s="42"/>
      <c r="U15" s="42"/>
      <c r="V15" s="32"/>
      <c r="W15" s="86"/>
      <c r="X15" s="86"/>
      <c r="Y15" s="86"/>
      <c r="Z15" s="86"/>
      <c r="AA15" s="86"/>
    </row>
    <row r="16" spans="1:27" s="34" customFormat="1" x14ac:dyDescent="0.3">
      <c r="A16" s="25"/>
      <c r="B16" s="108"/>
      <c r="C16" s="32"/>
      <c r="D16" s="32"/>
      <c r="E16" s="32"/>
      <c r="F16" s="32"/>
      <c r="G16" s="42"/>
      <c r="H16" s="38"/>
      <c r="I16" s="39"/>
      <c r="J16" s="32"/>
      <c r="K16" s="108"/>
      <c r="L16" s="119"/>
      <c r="M16" s="108"/>
      <c r="N16" s="32"/>
      <c r="O16" s="32"/>
      <c r="P16" s="32"/>
      <c r="Q16" s="32"/>
      <c r="R16" s="32"/>
      <c r="S16" s="32"/>
      <c r="T16" s="32"/>
      <c r="U16" s="32"/>
      <c r="V16" s="32"/>
      <c r="W16" s="86"/>
      <c r="X16" s="86"/>
      <c r="Y16" s="86"/>
      <c r="Z16" s="86"/>
      <c r="AA16" s="86"/>
    </row>
    <row r="17" spans="1:27" s="34" customFormat="1" x14ac:dyDescent="0.3">
      <c r="A17" s="25"/>
      <c r="B17" s="108" t="s">
        <v>26</v>
      </c>
      <c r="C17" s="32"/>
      <c r="D17" s="32"/>
      <c r="E17" s="32"/>
      <c r="F17" s="32"/>
      <c r="G17" s="42"/>
      <c r="H17" s="56">
        <f>IFERROR(ROUND(SUMIFS(G:G,B:B,"Arbeitspreis pro kWh Strom in EUR")/H15,4),0)</f>
        <v>0</v>
      </c>
      <c r="I17" s="57" t="s">
        <v>12</v>
      </c>
      <c r="J17" s="33" t="s">
        <v>4</v>
      </c>
      <c r="K17" s="108" t="s">
        <v>27</v>
      </c>
      <c r="L17" s="133"/>
      <c r="M17" s="109"/>
      <c r="N17" s="32"/>
      <c r="O17" s="32"/>
      <c r="P17" s="32"/>
      <c r="Q17" s="32"/>
      <c r="R17" s="32"/>
      <c r="S17" s="32"/>
      <c r="T17" s="58"/>
      <c r="U17" s="32"/>
      <c r="V17" s="65" t="str">
        <f>IF(H17&gt;=1,"JA","NEIN")</f>
        <v>NEIN</v>
      </c>
      <c r="W17" s="86"/>
      <c r="X17" s="86"/>
      <c r="Y17" s="86"/>
      <c r="Z17" s="86"/>
      <c r="AA17" s="86"/>
    </row>
    <row r="18" spans="1:27" s="34" customFormat="1" x14ac:dyDescent="0.3">
      <c r="A18" s="25"/>
      <c r="B18" s="108" t="s">
        <v>28</v>
      </c>
      <c r="C18" s="32"/>
      <c r="D18" s="32"/>
      <c r="E18" s="32"/>
      <c r="F18" s="32"/>
      <c r="G18" s="42"/>
      <c r="H18" s="40">
        <f>ROUND('1 - Strom Erdgas Wärme Vgl'!$H$21,4)</f>
        <v>0</v>
      </c>
      <c r="I18" s="57" t="s">
        <v>12</v>
      </c>
      <c r="J18" s="33"/>
      <c r="K18" s="108"/>
      <c r="L18" s="133"/>
      <c r="M18" s="109"/>
      <c r="N18" s="32"/>
      <c r="O18" s="32"/>
      <c r="P18" s="32"/>
      <c r="Q18" s="32"/>
      <c r="R18" s="32"/>
      <c r="S18" s="32"/>
      <c r="T18" s="32"/>
      <c r="U18" s="32"/>
      <c r="V18" s="65" t="str">
        <f>'1 - Strom Erdgas Wärme Vgl'!AA21</f>
        <v>NEIN</v>
      </c>
      <c r="W18" s="86"/>
      <c r="X18" s="86"/>
      <c r="Y18" s="86"/>
      <c r="Z18" s="86"/>
      <c r="AA18" s="86"/>
    </row>
    <row r="19" spans="1:27" s="34" customFormat="1" x14ac:dyDescent="0.3">
      <c r="A19" s="25"/>
      <c r="B19" s="108" t="s">
        <v>29</v>
      </c>
      <c r="C19" s="32"/>
      <c r="D19" s="32"/>
      <c r="E19" s="32"/>
      <c r="F19" s="32"/>
      <c r="G19" s="42"/>
      <c r="H19" s="40">
        <f>IF(H18=0,0,MAX(IFERROR(ROUND(H17-H18,4),0),0))</f>
        <v>0</v>
      </c>
      <c r="I19" s="57" t="s">
        <v>12</v>
      </c>
      <c r="J19" s="130" t="s">
        <v>201</v>
      </c>
      <c r="K19" s="131" t="s">
        <v>251</v>
      </c>
      <c r="L19" s="133"/>
      <c r="M19" s="109"/>
      <c r="N19" s="32"/>
      <c r="O19" s="32"/>
      <c r="P19" s="32"/>
      <c r="Q19" s="32"/>
      <c r="R19" s="32"/>
      <c r="S19" s="32"/>
      <c r="T19" s="32"/>
      <c r="U19" s="32"/>
      <c r="V19" s="65"/>
      <c r="W19" s="86"/>
      <c r="X19" s="86"/>
      <c r="Y19" s="86"/>
      <c r="Z19" s="86"/>
      <c r="AA19" s="86"/>
    </row>
    <row r="20" spans="1:27" s="34" customFormat="1" x14ac:dyDescent="0.3">
      <c r="A20" s="25"/>
      <c r="B20" s="32"/>
      <c r="C20" s="32"/>
      <c r="D20" s="32"/>
      <c r="E20" s="32"/>
      <c r="F20" s="32"/>
      <c r="G20" s="42"/>
      <c r="H20" s="40"/>
      <c r="I20" s="57"/>
      <c r="J20" s="33"/>
      <c r="K20" s="108"/>
      <c r="L20" s="133"/>
      <c r="M20" s="109"/>
      <c r="N20" s="32"/>
      <c r="O20" s="32"/>
      <c r="P20" s="32"/>
      <c r="Q20" s="32"/>
      <c r="R20" s="32"/>
      <c r="S20" s="32"/>
      <c r="T20" s="32"/>
      <c r="U20" s="32"/>
      <c r="V20" s="65"/>
      <c r="W20" s="86"/>
      <c r="X20" s="86"/>
      <c r="Y20" s="86"/>
      <c r="Z20" s="86"/>
      <c r="AA20" s="86"/>
    </row>
    <row r="21" spans="1:27" s="34" customFormat="1" ht="18.75" x14ac:dyDescent="0.4">
      <c r="A21" s="25"/>
      <c r="B21" s="36" t="s">
        <v>18</v>
      </c>
      <c r="C21" s="32"/>
      <c r="D21" s="32"/>
      <c r="E21" s="32"/>
      <c r="F21" s="53"/>
      <c r="G21" s="54"/>
      <c r="H21" s="32"/>
      <c r="I21" s="32"/>
      <c r="J21" s="32"/>
      <c r="K21" s="108"/>
      <c r="L21" s="108"/>
      <c r="M21" s="108"/>
      <c r="N21" s="32"/>
      <c r="O21" s="32"/>
      <c r="P21" s="32"/>
      <c r="Q21" s="32"/>
      <c r="R21" s="32"/>
      <c r="S21" s="32"/>
      <c r="T21" s="32"/>
      <c r="U21" s="32"/>
      <c r="V21" s="65"/>
      <c r="W21" s="86"/>
      <c r="X21" s="86"/>
      <c r="Y21" s="86"/>
      <c r="Z21" s="86"/>
      <c r="AA21" s="86"/>
    </row>
    <row r="22" spans="1:27" s="34" customFormat="1" x14ac:dyDescent="0.3">
      <c r="A22" s="25"/>
      <c r="B22" s="108" t="s">
        <v>30</v>
      </c>
      <c r="C22" s="32"/>
      <c r="D22" s="32"/>
      <c r="E22" s="32"/>
      <c r="F22" s="53"/>
      <c r="G22" s="54"/>
      <c r="H22" s="38">
        <f>SUMIFS(H:H,B:B,"Aliquoter " &amp; B21 &amp; "verbrauch in kWh " &amp; par_FZ_Text)</f>
        <v>0</v>
      </c>
      <c r="I22" s="39" t="s">
        <v>13</v>
      </c>
      <c r="J22" s="33" t="s">
        <v>4</v>
      </c>
      <c r="K22" s="108" t="s">
        <v>31</v>
      </c>
      <c r="L22" s="119"/>
      <c r="M22" s="109"/>
      <c r="N22" s="32"/>
      <c r="O22" s="32"/>
      <c r="P22" s="32"/>
      <c r="Q22" s="32"/>
      <c r="R22" s="32"/>
      <c r="S22" s="32"/>
      <c r="T22" s="32"/>
      <c r="U22" s="32"/>
      <c r="V22" s="65"/>
      <c r="W22" s="86"/>
      <c r="X22" s="86"/>
      <c r="Y22" s="86"/>
      <c r="Z22" s="86"/>
      <c r="AA22" s="86"/>
    </row>
    <row r="23" spans="1:27" s="34" customFormat="1" x14ac:dyDescent="0.3">
      <c r="A23" s="25"/>
      <c r="B23" s="108" t="s">
        <v>32</v>
      </c>
      <c r="C23" s="32"/>
      <c r="D23" s="32"/>
      <c r="E23" s="32"/>
      <c r="F23" s="53"/>
      <c r="G23" s="54"/>
      <c r="H23" s="38">
        <f>SUMIFS(H:H,B:B,B21 &amp; "verbrauch in kWh " &amp; par_FZ_Text)</f>
        <v>0</v>
      </c>
      <c r="I23" s="39" t="s">
        <v>13</v>
      </c>
      <c r="J23" s="32"/>
      <c r="K23" s="108"/>
      <c r="L23" s="119"/>
      <c r="M23" s="108"/>
      <c r="N23" s="32"/>
      <c r="O23" s="32"/>
      <c r="P23" s="32"/>
      <c r="Q23" s="32"/>
      <c r="R23" s="32"/>
      <c r="S23" s="32"/>
      <c r="T23" s="32"/>
      <c r="U23" s="32"/>
      <c r="V23" s="65"/>
      <c r="W23" s="86"/>
      <c r="X23" s="86"/>
      <c r="Y23" s="86"/>
      <c r="Z23" s="86"/>
      <c r="AA23" s="86"/>
    </row>
    <row r="24" spans="1:27" s="34" customFormat="1" x14ac:dyDescent="0.3">
      <c r="A24" s="25"/>
      <c r="B24" s="108" t="s">
        <v>33</v>
      </c>
      <c r="C24" s="32"/>
      <c r="D24" s="32"/>
      <c r="E24" s="32"/>
      <c r="F24" s="32"/>
      <c r="G24" s="42"/>
      <c r="H24" s="38">
        <f>SUM(H22:H23)</f>
        <v>0</v>
      </c>
      <c r="I24" s="39" t="s">
        <v>13</v>
      </c>
      <c r="J24" s="32"/>
      <c r="K24" s="108"/>
      <c r="L24" s="119"/>
      <c r="M24" s="108"/>
      <c r="N24" s="32"/>
      <c r="O24" s="32"/>
      <c r="P24" s="32"/>
      <c r="Q24" s="32"/>
      <c r="R24" s="32"/>
      <c r="S24" s="32"/>
      <c r="T24" s="32"/>
      <c r="U24" s="32"/>
      <c r="V24" s="65"/>
      <c r="W24" s="86"/>
      <c r="X24" s="86"/>
      <c r="Y24" s="86"/>
      <c r="Z24" s="86"/>
      <c r="AA24" s="86"/>
    </row>
    <row r="25" spans="1:27" s="34" customFormat="1" x14ac:dyDescent="0.3">
      <c r="A25" s="25"/>
      <c r="B25" s="108"/>
      <c r="C25" s="32"/>
      <c r="D25" s="32"/>
      <c r="E25" s="32"/>
      <c r="F25" s="32"/>
      <c r="G25" s="42"/>
      <c r="H25" s="38"/>
      <c r="I25" s="39"/>
      <c r="J25" s="32"/>
      <c r="K25" s="108"/>
      <c r="L25" s="119"/>
      <c r="M25" s="108"/>
      <c r="N25" s="32"/>
      <c r="O25" s="32"/>
      <c r="P25" s="32"/>
      <c r="Q25" s="32"/>
      <c r="R25" s="32"/>
      <c r="S25" s="32"/>
      <c r="T25" s="32"/>
      <c r="U25" s="32"/>
      <c r="V25" s="65"/>
      <c r="W25" s="86"/>
      <c r="X25" s="86"/>
      <c r="Y25" s="86"/>
      <c r="Z25" s="86"/>
      <c r="AA25" s="86"/>
    </row>
    <row r="26" spans="1:27" s="34" customFormat="1" x14ac:dyDescent="0.3">
      <c r="A26" s="25"/>
      <c r="B26" s="108" t="s">
        <v>26</v>
      </c>
      <c r="C26" s="32"/>
      <c r="D26" s="32"/>
      <c r="E26" s="32"/>
      <c r="F26" s="32"/>
      <c r="G26" s="42"/>
      <c r="H26" s="56">
        <f>IFERROR(ROUND(SUMIFS(G:G,B:B,"Arbeitspreis pro kWh Erdgas in EUR")/H24,4),0)</f>
        <v>0</v>
      </c>
      <c r="I26" s="57" t="s">
        <v>12</v>
      </c>
      <c r="J26" s="33" t="s">
        <v>4</v>
      </c>
      <c r="K26" s="108" t="s">
        <v>34</v>
      </c>
      <c r="L26" s="133"/>
      <c r="M26" s="109"/>
      <c r="N26" s="32"/>
      <c r="O26" s="32"/>
      <c r="P26" s="32"/>
      <c r="Q26" s="32"/>
      <c r="R26" s="32"/>
      <c r="S26" s="32"/>
      <c r="T26" s="32"/>
      <c r="U26" s="32"/>
      <c r="V26" s="65" t="str">
        <f>IF(H26&gt;=1,"JA","NEIN")</f>
        <v>NEIN</v>
      </c>
      <c r="W26" s="86"/>
      <c r="X26" s="86"/>
      <c r="Y26" s="86"/>
      <c r="Z26" s="86"/>
      <c r="AA26" s="86"/>
    </row>
    <row r="27" spans="1:27" s="34" customFormat="1" x14ac:dyDescent="0.3">
      <c r="A27" s="25"/>
      <c r="B27" s="108" t="s">
        <v>28</v>
      </c>
      <c r="C27" s="32"/>
      <c r="D27" s="32"/>
      <c r="E27" s="32"/>
      <c r="F27" s="32"/>
      <c r="G27" s="42"/>
      <c r="H27" s="40">
        <f>ROUND('1 - Strom Erdgas Wärme Vgl'!$H$26,4)</f>
        <v>0</v>
      </c>
      <c r="I27" s="57" t="s">
        <v>12</v>
      </c>
      <c r="J27" s="32"/>
      <c r="K27" s="108"/>
      <c r="L27" s="133"/>
      <c r="M27" s="108"/>
      <c r="N27" s="32"/>
      <c r="O27" s="32"/>
      <c r="P27" s="32"/>
      <c r="Q27" s="32"/>
      <c r="R27" s="32"/>
      <c r="S27" s="32"/>
      <c r="T27" s="32"/>
      <c r="U27" s="32"/>
      <c r="V27" s="65" t="str">
        <f>'1 - Strom Erdgas Wärme Vgl'!AA26</f>
        <v>NEIN</v>
      </c>
      <c r="W27" s="86"/>
      <c r="X27" s="86"/>
      <c r="Y27" s="86"/>
      <c r="Z27" s="86"/>
      <c r="AA27" s="86"/>
    </row>
    <row r="28" spans="1:27" s="34" customFormat="1" x14ac:dyDescent="0.3">
      <c r="A28" s="25"/>
      <c r="B28" s="108" t="s">
        <v>29</v>
      </c>
      <c r="C28" s="32"/>
      <c r="D28" s="32"/>
      <c r="E28" s="32"/>
      <c r="F28" s="32"/>
      <c r="G28" s="42"/>
      <c r="H28" s="40">
        <f>IF(H27=0,0,MAX(IFERROR(ROUND(H26-H27,4),0),0))</f>
        <v>0</v>
      </c>
      <c r="I28" s="57" t="s">
        <v>12</v>
      </c>
      <c r="J28" s="130" t="s">
        <v>201</v>
      </c>
      <c r="K28" s="131" t="s">
        <v>251</v>
      </c>
      <c r="L28" s="133"/>
      <c r="M28" s="108"/>
      <c r="N28" s="32"/>
      <c r="O28" s="32"/>
      <c r="P28" s="32"/>
      <c r="Q28" s="32"/>
      <c r="R28" s="32"/>
      <c r="S28" s="32"/>
      <c r="T28" s="32"/>
      <c r="U28" s="32"/>
      <c r="V28" s="65"/>
      <c r="W28" s="86"/>
      <c r="X28" s="86"/>
      <c r="Y28" s="86"/>
      <c r="Z28" s="86"/>
      <c r="AA28" s="86"/>
    </row>
    <row r="29" spans="1:27" s="34" customFormat="1" x14ac:dyDescent="0.3">
      <c r="A29" s="25"/>
      <c r="B29" s="32"/>
      <c r="C29" s="32"/>
      <c r="D29" s="32"/>
      <c r="E29" s="32"/>
      <c r="F29" s="32"/>
      <c r="G29" s="42"/>
      <c r="H29" s="32"/>
      <c r="I29" s="32"/>
      <c r="J29" s="32"/>
      <c r="K29" s="108"/>
      <c r="L29" s="108"/>
      <c r="M29" s="108"/>
      <c r="N29" s="32"/>
      <c r="O29" s="32"/>
      <c r="P29" s="32"/>
      <c r="Q29" s="32"/>
      <c r="R29" s="32"/>
      <c r="S29" s="32"/>
      <c r="T29" s="32"/>
      <c r="U29" s="32"/>
      <c r="V29" s="65"/>
      <c r="W29" s="86"/>
      <c r="X29" s="86"/>
      <c r="Y29" s="86"/>
      <c r="Z29" s="86"/>
      <c r="AA29" s="86"/>
    </row>
    <row r="30" spans="1:27" s="34" customFormat="1" ht="18.75" x14ac:dyDescent="0.4">
      <c r="A30" s="25"/>
      <c r="B30" s="36" t="s">
        <v>53</v>
      </c>
      <c r="C30" s="32"/>
      <c r="D30" s="32"/>
      <c r="E30" s="32"/>
      <c r="F30" s="53"/>
      <c r="G30" s="54"/>
      <c r="H30" s="32"/>
      <c r="I30" s="32"/>
      <c r="J30" s="32"/>
      <c r="K30" s="108"/>
      <c r="L30" s="108"/>
      <c r="M30" s="108"/>
      <c r="N30" s="32"/>
      <c r="O30" s="32"/>
      <c r="P30" s="32"/>
      <c r="Q30" s="32"/>
      <c r="R30" s="32"/>
      <c r="S30" s="32"/>
      <c r="T30" s="32"/>
      <c r="U30" s="32"/>
      <c r="V30" s="65"/>
      <c r="W30" s="86"/>
      <c r="X30" s="86"/>
      <c r="Y30" s="86"/>
      <c r="Z30" s="86"/>
      <c r="AA30" s="86"/>
    </row>
    <row r="31" spans="1:27" s="34" customFormat="1" x14ac:dyDescent="0.3">
      <c r="A31" s="25"/>
      <c r="B31" s="108" t="s">
        <v>54</v>
      </c>
      <c r="C31" s="32"/>
      <c r="D31" s="32"/>
      <c r="E31" s="32"/>
      <c r="F31" s="53"/>
      <c r="G31" s="54"/>
      <c r="H31" s="38">
        <f>SUMIFS(H:H,B:B,"Aliquoter " &amp; B30 &amp; "verbrauch in kWh " &amp; par_FZ_Text)</f>
        <v>0</v>
      </c>
      <c r="I31" s="39" t="s">
        <v>13</v>
      </c>
      <c r="J31" s="33" t="s">
        <v>4</v>
      </c>
      <c r="K31" s="108" t="s">
        <v>31</v>
      </c>
      <c r="L31" s="119"/>
      <c r="M31" s="109"/>
      <c r="N31" s="32"/>
      <c r="O31" s="32"/>
      <c r="P31" s="32"/>
      <c r="Q31" s="32"/>
      <c r="R31" s="32"/>
      <c r="S31" s="32"/>
      <c r="T31" s="32"/>
      <c r="U31" s="32"/>
      <c r="V31" s="65"/>
      <c r="W31" s="86"/>
      <c r="X31" s="79"/>
      <c r="Y31" s="86"/>
      <c r="Z31" s="86"/>
      <c r="AA31" s="86"/>
    </row>
    <row r="32" spans="1:27" s="34" customFormat="1" x14ac:dyDescent="0.3">
      <c r="A32" s="25"/>
      <c r="B32" s="108" t="s">
        <v>55</v>
      </c>
      <c r="C32" s="32"/>
      <c r="D32" s="32"/>
      <c r="E32" s="32"/>
      <c r="F32" s="53"/>
      <c r="G32" s="54"/>
      <c r="H32" s="38">
        <f>SUMIFS(H:H,B:B,B30 &amp; "verbrauch in kWh " &amp; par_FZ_Text)</f>
        <v>0</v>
      </c>
      <c r="I32" s="39" t="s">
        <v>13</v>
      </c>
      <c r="J32" s="32"/>
      <c r="K32" s="108"/>
      <c r="L32" s="119"/>
      <c r="M32" s="108"/>
      <c r="N32" s="32"/>
      <c r="O32" s="32"/>
      <c r="P32" s="32"/>
      <c r="Q32" s="32"/>
      <c r="R32" s="32"/>
      <c r="S32" s="32"/>
      <c r="T32" s="32"/>
      <c r="U32" s="32"/>
      <c r="V32" s="65"/>
      <c r="W32" s="86"/>
      <c r="X32" s="79"/>
      <c r="Y32" s="86"/>
      <c r="Z32" s="86"/>
      <c r="AA32" s="86"/>
    </row>
    <row r="33" spans="1:27" s="34" customFormat="1" x14ac:dyDescent="0.3">
      <c r="A33" s="25"/>
      <c r="B33" s="108" t="s">
        <v>56</v>
      </c>
      <c r="C33" s="32"/>
      <c r="D33" s="32"/>
      <c r="E33" s="32"/>
      <c r="F33" s="32"/>
      <c r="G33" s="42"/>
      <c r="H33" s="38">
        <f>SUM(H31:H32)</f>
        <v>0</v>
      </c>
      <c r="I33" s="39" t="s">
        <v>13</v>
      </c>
      <c r="J33" s="32"/>
      <c r="K33" s="108"/>
      <c r="L33" s="119"/>
      <c r="M33" s="108"/>
      <c r="N33" s="32"/>
      <c r="O33" s="32"/>
      <c r="P33" s="32"/>
      <c r="Q33" s="32"/>
      <c r="R33" s="32"/>
      <c r="S33" s="32"/>
      <c r="T33" s="32"/>
      <c r="U33" s="32"/>
      <c r="V33" s="65"/>
      <c r="W33" s="86"/>
      <c r="X33" s="79"/>
      <c r="Y33" s="86"/>
      <c r="Z33" s="86"/>
      <c r="AA33" s="86"/>
    </row>
    <row r="34" spans="1:27" s="34" customFormat="1" x14ac:dyDescent="0.3">
      <c r="A34" s="25"/>
      <c r="B34" s="108" t="s">
        <v>61</v>
      </c>
      <c r="C34" s="32"/>
      <c r="D34" s="32"/>
      <c r="E34" s="32"/>
      <c r="F34" s="32"/>
      <c r="G34" s="42"/>
      <c r="H34" s="77" t="str">
        <f>IFERROR(SUMIFS(F:F,B:B,"Energiemix: Anteil in % der aus Strom, Erdgas, Heizöl, Holzpellets und Hackschnitzel erzeugten Wärme/Kälte")/H33,"0,00")</f>
        <v>0,00</v>
      </c>
      <c r="I34" s="39" t="s">
        <v>82</v>
      </c>
      <c r="J34" s="33" t="s">
        <v>4</v>
      </c>
      <c r="K34" s="108" t="s">
        <v>247</v>
      </c>
      <c r="L34" s="119"/>
      <c r="M34" s="109"/>
      <c r="N34" s="32"/>
      <c r="O34" s="32"/>
      <c r="P34" s="32"/>
      <c r="Q34" s="32"/>
      <c r="R34" s="32"/>
      <c r="S34" s="32"/>
      <c r="T34" s="32"/>
      <c r="U34" s="32"/>
      <c r="V34" s="65"/>
      <c r="W34" s="86"/>
      <c r="X34" s="79"/>
      <c r="Y34" s="86"/>
      <c r="Z34" s="86"/>
      <c r="AA34" s="86"/>
    </row>
    <row r="35" spans="1:27" s="34" customFormat="1" x14ac:dyDescent="0.3">
      <c r="A35" s="25"/>
      <c r="B35" s="108"/>
      <c r="C35" s="32"/>
      <c r="D35" s="32"/>
      <c r="E35" s="32"/>
      <c r="F35" s="32"/>
      <c r="G35" s="42"/>
      <c r="H35" s="38"/>
      <c r="I35" s="39"/>
      <c r="J35" s="32"/>
      <c r="K35" s="108"/>
      <c r="L35" s="119"/>
      <c r="M35" s="108"/>
      <c r="N35" s="32"/>
      <c r="O35" s="32"/>
      <c r="P35" s="32"/>
      <c r="Q35" s="32"/>
      <c r="R35" s="32"/>
      <c r="S35" s="32"/>
      <c r="T35" s="32"/>
      <c r="U35" s="32"/>
      <c r="V35" s="65"/>
      <c r="W35" s="86"/>
      <c r="X35" s="79"/>
      <c r="Y35" s="86"/>
      <c r="Z35" s="86"/>
      <c r="AA35" s="86"/>
    </row>
    <row r="36" spans="1:27" s="34" customFormat="1" x14ac:dyDescent="0.3">
      <c r="A36" s="25"/>
      <c r="B36" s="108" t="s">
        <v>26</v>
      </c>
      <c r="C36" s="32"/>
      <c r="D36" s="32"/>
      <c r="E36" s="32"/>
      <c r="F36" s="32"/>
      <c r="G36" s="42"/>
      <c r="H36" s="56">
        <f>IFERROR(ROUND(SUMIFS(G:G,B:B,"Arbeitspreis pro kWh Wärme-/Kälte in EUR")/H33,4),0)</f>
        <v>0</v>
      </c>
      <c r="I36" s="57" t="s">
        <v>12</v>
      </c>
      <c r="J36" s="33" t="s">
        <v>4</v>
      </c>
      <c r="K36" s="108" t="s">
        <v>202</v>
      </c>
      <c r="L36" s="133"/>
      <c r="M36" s="109"/>
      <c r="N36" s="32"/>
      <c r="O36" s="32"/>
      <c r="P36" s="32"/>
      <c r="Q36" s="32"/>
      <c r="R36" s="32"/>
      <c r="S36" s="32"/>
      <c r="T36" s="32"/>
      <c r="U36" s="32"/>
      <c r="V36" s="65" t="str">
        <f>IF(H36&gt;=1,"JA","NEIN")</f>
        <v>NEIN</v>
      </c>
      <c r="W36" s="86"/>
      <c r="X36" s="79"/>
      <c r="Y36" s="86"/>
      <c r="Z36" s="86"/>
      <c r="AA36" s="86"/>
    </row>
    <row r="37" spans="1:27" s="34" customFormat="1" x14ac:dyDescent="0.3">
      <c r="A37" s="25"/>
      <c r="B37" s="108" t="s">
        <v>28</v>
      </c>
      <c r="C37" s="32"/>
      <c r="D37" s="32"/>
      <c r="E37" s="32"/>
      <c r="F37" s="32"/>
      <c r="G37" s="42"/>
      <c r="H37" s="40">
        <f>ROUND('1 - Strom Erdgas Wärme Vgl'!$H$31,4)</f>
        <v>0</v>
      </c>
      <c r="I37" s="57" t="s">
        <v>12</v>
      </c>
      <c r="J37" s="32"/>
      <c r="K37" s="108"/>
      <c r="L37" s="133"/>
      <c r="M37" s="108"/>
      <c r="N37" s="32"/>
      <c r="O37" s="32"/>
      <c r="P37" s="32"/>
      <c r="Q37" s="32"/>
      <c r="R37" s="32"/>
      <c r="S37" s="32"/>
      <c r="T37" s="32"/>
      <c r="U37" s="32"/>
      <c r="V37" s="65" t="str">
        <f>'1 - Strom Erdgas Wärme Vgl'!AA31</f>
        <v>NEIN</v>
      </c>
      <c r="W37" s="86"/>
      <c r="X37" s="79"/>
      <c r="Y37" s="86"/>
      <c r="Z37" s="86"/>
      <c r="AA37" s="86"/>
    </row>
    <row r="38" spans="1:27" s="34" customFormat="1" x14ac:dyDescent="0.3">
      <c r="A38" s="25"/>
      <c r="B38" s="108" t="s">
        <v>29</v>
      </c>
      <c r="C38" s="32"/>
      <c r="D38" s="32"/>
      <c r="E38" s="32"/>
      <c r="F38" s="32"/>
      <c r="G38" s="42"/>
      <c r="H38" s="40">
        <f>IF(H37=0,0,MAX(IFERROR(ROUND(H36-H37,4),0),0))</f>
        <v>0</v>
      </c>
      <c r="I38" s="57" t="s">
        <v>12</v>
      </c>
      <c r="J38" s="130" t="s">
        <v>201</v>
      </c>
      <c r="K38" s="131" t="s">
        <v>251</v>
      </c>
      <c r="L38" s="133"/>
      <c r="M38" s="108"/>
      <c r="N38" s="32"/>
      <c r="O38" s="32"/>
      <c r="P38" s="32"/>
      <c r="Q38" s="32"/>
      <c r="R38" s="32"/>
      <c r="S38" s="32"/>
      <c r="T38" s="32"/>
      <c r="U38" s="32"/>
      <c r="V38" s="32"/>
      <c r="W38" s="86"/>
      <c r="X38" s="79"/>
      <c r="Y38" s="86"/>
      <c r="Z38" s="86"/>
      <c r="AA38" s="86"/>
    </row>
    <row r="39" spans="1:27" s="34" customFormat="1" x14ac:dyDescent="0.3">
      <c r="A39" s="25"/>
      <c r="B39" s="32"/>
      <c r="C39" s="32"/>
      <c r="D39" s="32"/>
      <c r="E39" s="32"/>
      <c r="F39" s="32"/>
      <c r="G39" s="42"/>
      <c r="H39" s="32"/>
      <c r="I39" s="32"/>
      <c r="J39" s="32"/>
      <c r="K39" s="32"/>
      <c r="L39" s="32"/>
      <c r="M39" s="32"/>
      <c r="N39" s="32"/>
      <c r="O39" s="32"/>
      <c r="P39" s="32"/>
      <c r="Q39" s="32"/>
      <c r="R39" s="32"/>
      <c r="S39" s="32"/>
      <c r="T39" s="32"/>
      <c r="U39" s="32"/>
      <c r="V39" s="32"/>
      <c r="W39" s="86"/>
      <c r="X39" s="86"/>
      <c r="Y39" s="86"/>
      <c r="Z39" s="86"/>
      <c r="AA39" s="86"/>
    </row>
    <row r="40" spans="1:27" ht="17.25" thickBot="1" x14ac:dyDescent="0.35">
      <c r="B40" s="71"/>
      <c r="C40" s="71"/>
      <c r="D40" s="71"/>
      <c r="E40" s="71"/>
      <c r="F40" s="71"/>
      <c r="G40" s="72"/>
      <c r="H40" s="71"/>
      <c r="I40" s="71"/>
      <c r="J40" s="71"/>
      <c r="K40" s="71"/>
      <c r="L40" s="71"/>
      <c r="M40" s="71"/>
      <c r="N40" s="71"/>
      <c r="O40" s="71"/>
      <c r="P40" s="71"/>
      <c r="Q40" s="71"/>
      <c r="R40" s="71"/>
      <c r="S40" s="71"/>
      <c r="T40" s="71"/>
      <c r="U40" s="71"/>
      <c r="V40" s="71"/>
      <c r="W40" s="71"/>
      <c r="X40" s="71"/>
      <c r="Y40" s="71"/>
      <c r="Z40" s="71"/>
      <c r="AA40" s="71"/>
    </row>
    <row r="41" spans="1:27" x14ac:dyDescent="0.3">
      <c r="B41" s="32"/>
      <c r="C41" s="32"/>
      <c r="D41" s="65"/>
      <c r="E41" s="65"/>
      <c r="F41" s="65"/>
      <c r="G41" s="65"/>
      <c r="H41" s="32"/>
      <c r="I41" s="32"/>
      <c r="J41" s="32"/>
      <c r="K41" s="32"/>
      <c r="L41" s="32"/>
      <c r="M41" s="32"/>
      <c r="N41" s="32"/>
      <c r="O41" s="32"/>
      <c r="P41" s="32"/>
      <c r="Q41" s="32"/>
      <c r="R41" s="32"/>
      <c r="S41" s="32"/>
      <c r="T41" s="32"/>
      <c r="U41" s="32"/>
      <c r="V41" s="32"/>
      <c r="W41" s="86"/>
      <c r="X41" s="79"/>
      <c r="Y41" s="79"/>
      <c r="Z41" s="79"/>
      <c r="AA41" s="79"/>
    </row>
    <row r="42" spans="1:27" s="34" customFormat="1" ht="19.5" thickBot="1" x14ac:dyDescent="0.45">
      <c r="A42" s="25"/>
      <c r="B42" s="36" t="s">
        <v>6</v>
      </c>
      <c r="C42" s="108"/>
      <c r="D42" s="117"/>
      <c r="E42" s="117"/>
      <c r="F42" s="117"/>
      <c r="G42" s="117"/>
      <c r="H42" s="108"/>
      <c r="I42" s="135">
        <f>par_FZ_SEW_Start</f>
        <v>44927</v>
      </c>
      <c r="J42" s="135">
        <f>EOMONTH(I42,0)+1</f>
        <v>44958</v>
      </c>
      <c r="K42" s="135">
        <f t="shared" ref="K42:N42" si="0">EOMONTH(J42,0)+1</f>
        <v>44986</v>
      </c>
      <c r="L42" s="135">
        <f t="shared" si="0"/>
        <v>45017</v>
      </c>
      <c r="M42" s="135">
        <f t="shared" si="0"/>
        <v>45047</v>
      </c>
      <c r="N42" s="135">
        <f t="shared" si="0"/>
        <v>45078</v>
      </c>
      <c r="O42" s="32"/>
      <c r="P42" s="46"/>
      <c r="Q42" s="46"/>
      <c r="R42" s="46"/>
      <c r="S42" s="46"/>
      <c r="T42" s="46"/>
      <c r="U42" s="46"/>
      <c r="V42" s="32"/>
      <c r="W42" s="86"/>
      <c r="X42" s="86"/>
      <c r="Y42" s="86"/>
      <c r="Z42" s="86"/>
      <c r="AA42" s="86"/>
    </row>
    <row r="43" spans="1:27" s="34" customFormat="1" ht="17.25" thickBot="1" x14ac:dyDescent="0.35">
      <c r="A43" s="25"/>
      <c r="B43" s="108" t="s">
        <v>203</v>
      </c>
      <c r="C43" s="108"/>
      <c r="D43" s="117"/>
      <c r="E43" s="117"/>
      <c r="F43" s="117"/>
      <c r="G43" s="117"/>
      <c r="H43" s="262"/>
      <c r="I43" s="47"/>
      <c r="J43" s="48"/>
      <c r="K43" s="48"/>
      <c r="L43" s="48"/>
      <c r="M43" s="48"/>
      <c r="N43" s="48"/>
      <c r="O43" s="33" t="s">
        <v>4</v>
      </c>
      <c r="P43" s="108" t="s">
        <v>21</v>
      </c>
      <c r="Q43" s="46"/>
      <c r="R43" s="46"/>
      <c r="S43" s="46"/>
      <c r="T43" s="46"/>
      <c r="U43" s="46"/>
      <c r="V43" s="32"/>
      <c r="W43" s="86"/>
      <c r="X43" s="86"/>
      <c r="Y43" s="86"/>
      <c r="Z43" s="86"/>
      <c r="AA43" s="86"/>
    </row>
    <row r="44" spans="1:27" s="34" customFormat="1" ht="17.25" thickBot="1" x14ac:dyDescent="0.35">
      <c r="A44" s="25"/>
      <c r="B44" s="108" t="s">
        <v>8</v>
      </c>
      <c r="C44" s="108"/>
      <c r="D44" s="117"/>
      <c r="E44" s="117"/>
      <c r="F44" s="117"/>
      <c r="G44" s="117"/>
      <c r="H44" s="136">
        <f>IFERROR(VLOOKUP(H43,'1 - Strom Erdgas Wärme Vgl'!H:AA,17,FALSE),"")</f>
        <v>0</v>
      </c>
      <c r="I44" s="47"/>
      <c r="J44" s="48"/>
      <c r="K44" s="48"/>
      <c r="L44" s="48"/>
      <c r="M44" s="48"/>
      <c r="N44" s="48"/>
      <c r="O44" s="33"/>
      <c r="P44" s="108"/>
      <c r="Q44" s="46"/>
      <c r="R44" s="46"/>
      <c r="S44" s="46"/>
      <c r="T44" s="46"/>
      <c r="U44" s="46"/>
      <c r="V44" s="32"/>
      <c r="W44" s="86"/>
      <c r="X44" s="86"/>
      <c r="Y44" s="86"/>
      <c r="Z44" s="86"/>
      <c r="AA44" s="86"/>
    </row>
    <row r="45" spans="1:27" s="34" customFormat="1" ht="17.25" thickBot="1" x14ac:dyDescent="0.35">
      <c r="A45" s="25"/>
      <c r="B45" s="108" t="s">
        <v>10</v>
      </c>
      <c r="C45" s="108"/>
      <c r="D45" s="117"/>
      <c r="E45" s="117"/>
      <c r="F45" s="117"/>
      <c r="G45" s="117"/>
      <c r="H45" s="254">
        <f>IFERROR(VLOOKUP(H43,'1 - Strom Erdgas Wärme Vgl'!H:AA,18,FALSE),"")</f>
        <v>0</v>
      </c>
      <c r="I45" s="49"/>
      <c r="J45" s="50"/>
      <c r="K45" s="50"/>
      <c r="L45" s="50"/>
      <c r="M45" s="50"/>
      <c r="N45" s="50"/>
      <c r="O45" s="33" t="s">
        <v>4</v>
      </c>
      <c r="P45" s="108" t="s">
        <v>11</v>
      </c>
      <c r="Q45" s="46"/>
      <c r="R45" s="46"/>
      <c r="S45" s="46"/>
      <c r="T45" s="46"/>
      <c r="U45" s="46"/>
      <c r="V45" s="32"/>
      <c r="W45" s="86"/>
      <c r="X45" s="86"/>
      <c r="Y45" s="86"/>
      <c r="Z45" s="86"/>
      <c r="AA45" s="86"/>
    </row>
    <row r="46" spans="1:27" s="34" customFormat="1" ht="17.25" thickBot="1" x14ac:dyDescent="0.35">
      <c r="A46" s="25"/>
      <c r="B46" s="108" t="str">
        <f>IF(H45="Erdgas","Arbeitspreis pro kWh Erdgas in EUR",IF(H45="Strom","Arbeitspreis pro kWh Strom in EUR",IF(H45="Wärme/Kälte","Arbeitspreis pro kWh Wärme-/Kälte in EUR","Bitte Energieart auswählen!")))</f>
        <v>Bitte Energieart auswählen!</v>
      </c>
      <c r="C46" s="108"/>
      <c r="D46" s="117"/>
      <c r="E46" s="117"/>
      <c r="F46" s="117"/>
      <c r="G46" s="137">
        <f>IFERROR(SUMPRODUCT(I46:N46,I47:N47),"")</f>
        <v>0</v>
      </c>
      <c r="H46" s="108"/>
      <c r="I46" s="263"/>
      <c r="J46" s="263"/>
      <c r="K46" s="263"/>
      <c r="L46" s="263"/>
      <c r="M46" s="263"/>
      <c r="N46" s="263"/>
      <c r="O46" s="33" t="s">
        <v>4</v>
      </c>
      <c r="P46" s="108" t="str">
        <f>IF(OR(ISBLANK(H45),H45=0),"Bitte Energieart auswählen!",H45 &amp; "kosten exkl. Steuern, Abgaben, Netzentgelte, etc.")</f>
        <v>Bitte Energieart auswählen!</v>
      </c>
      <c r="Q46" s="32"/>
      <c r="R46" s="32"/>
      <c r="S46" s="51"/>
      <c r="T46" s="38"/>
      <c r="U46" s="39"/>
      <c r="V46" s="32"/>
      <c r="W46" s="86"/>
      <c r="X46" s="86"/>
      <c r="Y46" s="86"/>
      <c r="Z46" s="86"/>
      <c r="AA46" s="86"/>
    </row>
    <row r="47" spans="1:27" s="34" customFormat="1" ht="17.25" thickBot="1" x14ac:dyDescent="0.35">
      <c r="A47" s="25"/>
      <c r="B47" s="108" t="str">
        <f>IF(OR(ISBLANK(H45),H45=0),"Bitte Energieart auswählen!",IF(H44="Nein","Aliquoter ","") &amp; H45 &amp;"verbrauch in kWh " &amp; par_FZ_Text)</f>
        <v>Bitte Energieart auswählen!</v>
      </c>
      <c r="C47" s="108"/>
      <c r="D47" s="117"/>
      <c r="E47" s="117"/>
      <c r="F47" s="117"/>
      <c r="G47" s="117"/>
      <c r="H47" s="125">
        <f>SUM(I47:N47)</f>
        <v>0</v>
      </c>
      <c r="I47" s="255" t="str">
        <f>IFERROR(IF($H44="Nein",VLOOKUP(CONCATENATE($H43,"_",$H45),'1 - Strom Erdgas Wärme Vgl'!$W:$AA,5,FALSE)/par_VZ_Monate,""),"")</f>
        <v/>
      </c>
      <c r="J47" s="255" t="str">
        <f>IFERROR(IF($H44="Nein",VLOOKUP(CONCATENATE($H43,"_",$H45),'1 - Strom Erdgas Wärme Vgl'!$W:$AA,5,FALSE)/par_VZ_Monate,""),"")</f>
        <v/>
      </c>
      <c r="K47" s="255" t="str">
        <f>IFERROR(IF($H44="Nein",VLOOKUP(CONCATENATE($H43,"_",$H45),'1 - Strom Erdgas Wärme Vgl'!$W:$AA,5,FALSE)/par_VZ_Monate,""),"")</f>
        <v/>
      </c>
      <c r="L47" s="255" t="str">
        <f>IFERROR(IF($H44="Nein",VLOOKUP(CONCATENATE($H43,"_",$H45),'1 - Strom Erdgas Wärme Vgl'!$W:$AA,5,FALSE)/par_VZ_Monate,""),"")</f>
        <v/>
      </c>
      <c r="M47" s="255" t="str">
        <f>IFERROR(IF($H44="Nein",VLOOKUP(CONCATENATE($H43,"_",$H45),'1 - Strom Erdgas Wärme Vgl'!$W:$AA,5,FALSE)/par_VZ_Monate,""),"")</f>
        <v/>
      </c>
      <c r="N47" s="255" t="str">
        <f>IFERROR(IF($H44="Nein",VLOOKUP(CONCATENATE($H43,"_",$H45),'1 - Strom Erdgas Wärme Vgl'!$W:$AA,5,FALSE)/par_VZ_Monate,""),"")</f>
        <v/>
      </c>
      <c r="O47" s="33" t="s">
        <v>4</v>
      </c>
      <c r="P47" s="134" t="str">
        <f>IFERROR(IF(H44="Nein","Vorbefüllte Verbrauchswerte wurden aliquot (d.h. 1/" &amp; par_VZ_Monate &amp; ") aus dem Jahr " &amp; par_Jahr1 &amp; " übernommen.","Bitte ergänzen Sie die monatlichen Verbrauchswerte gem. Lastprofilzähler"),"")</f>
        <v>Bitte ergänzen Sie die monatlichen Verbrauchswerte gem. Lastprofilzähler</v>
      </c>
      <c r="Q47" s="52"/>
      <c r="R47" s="52"/>
      <c r="S47" s="52"/>
      <c r="T47" s="52"/>
      <c r="U47" s="52"/>
      <c r="V47" s="52"/>
      <c r="W47" s="86"/>
      <c r="X47" s="86"/>
      <c r="Y47" s="86"/>
      <c r="Z47" s="86"/>
      <c r="AA47" s="86"/>
    </row>
    <row r="48" spans="1:27" x14ac:dyDescent="0.3">
      <c r="B48" s="108" t="str">
        <f>IF(H45="Wärme/Kälte","Energiemix: Anteil in % der aus Strom, Erdgas, Heizöl, Holzpellets und Hackschnitzel erzeugten Wärme/Kälte","")</f>
        <v/>
      </c>
      <c r="C48" s="31"/>
      <c r="D48" s="65"/>
      <c r="E48" s="65"/>
      <c r="F48" s="85">
        <f>IFERROR(SUMPRODUCT(I48:N48,I47:N47),"")</f>
        <v>0</v>
      </c>
      <c r="G48" s="85"/>
      <c r="H48" s="31"/>
      <c r="I48" s="264"/>
      <c r="J48" s="265"/>
      <c r="K48" s="264"/>
      <c r="L48" s="265"/>
      <c r="M48" s="264"/>
      <c r="N48" s="265"/>
      <c r="O48" s="33" t="str">
        <f>IF(H45="Wärme/Kälte","i","")</f>
        <v/>
      </c>
      <c r="P48" s="108" t="str">
        <f>IF(H45="Wärme/Kälte","Bitte geben Sie den Anteil in % (von 0 bis 100, ohne %-zeichen) der direkt aus Strom, Erdgas, Heizöl, Holzpellets und Hackschnitzel erzeugten Wärme/Kälte.","")</f>
        <v/>
      </c>
      <c r="Q48" s="31"/>
      <c r="R48" s="31"/>
      <c r="S48" s="31"/>
      <c r="T48" s="31"/>
      <c r="U48" s="31"/>
      <c r="V48" s="31"/>
      <c r="W48" s="86"/>
      <c r="X48" s="86"/>
      <c r="Y48" s="79"/>
      <c r="Z48" s="79"/>
      <c r="AA48" s="79"/>
    </row>
    <row r="49" spans="1:27" x14ac:dyDescent="0.3">
      <c r="B49" s="31"/>
      <c r="C49" s="31"/>
      <c r="D49" s="65"/>
      <c r="E49" s="65"/>
      <c r="F49" s="65"/>
      <c r="G49" s="65"/>
      <c r="H49" s="31"/>
      <c r="I49" s="31"/>
      <c r="J49" s="31"/>
      <c r="K49" s="31"/>
      <c r="L49" s="31"/>
      <c r="M49" s="31"/>
      <c r="N49" s="31"/>
      <c r="O49" s="33"/>
      <c r="P49" s="32"/>
      <c r="Q49" s="31"/>
      <c r="R49" s="31"/>
      <c r="S49" s="31"/>
      <c r="T49" s="31"/>
      <c r="U49" s="31"/>
      <c r="V49" s="31"/>
      <c r="W49" s="86"/>
      <c r="X49" s="86"/>
      <c r="Y49" s="79"/>
      <c r="Z49" s="79"/>
      <c r="AA49" s="79"/>
    </row>
    <row r="50" spans="1:27" s="34" customFormat="1" ht="19.5" thickBot="1" x14ac:dyDescent="0.45">
      <c r="A50" s="25"/>
      <c r="B50" s="36" t="s">
        <v>6</v>
      </c>
      <c r="C50" s="108"/>
      <c r="D50" s="117"/>
      <c r="E50" s="117"/>
      <c r="F50" s="117"/>
      <c r="G50" s="117"/>
      <c r="H50" s="108"/>
      <c r="I50" s="135">
        <f>par_FZ_SEW_Start</f>
        <v>44927</v>
      </c>
      <c r="J50" s="135">
        <f>EOMONTH(I50,0)+1</f>
        <v>44958</v>
      </c>
      <c r="K50" s="135">
        <f t="shared" ref="K50" si="1">EOMONTH(J50,0)+1</f>
        <v>44986</v>
      </c>
      <c r="L50" s="135">
        <f t="shared" ref="L50" si="2">EOMONTH(K50,0)+1</f>
        <v>45017</v>
      </c>
      <c r="M50" s="135">
        <f t="shared" ref="M50" si="3">EOMONTH(L50,0)+1</f>
        <v>45047</v>
      </c>
      <c r="N50" s="135">
        <f t="shared" ref="N50" si="4">EOMONTH(M50,0)+1</f>
        <v>45078</v>
      </c>
      <c r="O50" s="32"/>
      <c r="P50" s="46"/>
      <c r="Q50" s="46"/>
      <c r="R50" s="46"/>
      <c r="S50" s="46"/>
      <c r="T50" s="46"/>
      <c r="U50" s="46"/>
      <c r="V50" s="32"/>
      <c r="W50" s="86"/>
      <c r="X50" s="86"/>
      <c r="Y50" s="86"/>
      <c r="Z50" s="86"/>
      <c r="AA50" s="86"/>
    </row>
    <row r="51" spans="1:27" s="34" customFormat="1" ht="17.25" thickBot="1" x14ac:dyDescent="0.35">
      <c r="A51" s="25"/>
      <c r="B51" s="108" t="s">
        <v>203</v>
      </c>
      <c r="C51" s="108"/>
      <c r="D51" s="117"/>
      <c r="E51" s="117"/>
      <c r="F51" s="117"/>
      <c r="G51" s="117"/>
      <c r="H51" s="262"/>
      <c r="I51" s="47"/>
      <c r="J51" s="48"/>
      <c r="K51" s="48"/>
      <c r="L51" s="48"/>
      <c r="M51" s="48"/>
      <c r="N51" s="48"/>
      <c r="O51" s="33" t="s">
        <v>4</v>
      </c>
      <c r="P51" s="108" t="s">
        <v>21</v>
      </c>
      <c r="Q51" s="46"/>
      <c r="R51" s="46"/>
      <c r="S51" s="46"/>
      <c r="T51" s="46"/>
      <c r="U51" s="46"/>
      <c r="V51" s="32"/>
      <c r="W51" s="86"/>
      <c r="X51" s="86"/>
      <c r="Y51" s="86"/>
      <c r="Z51" s="86"/>
      <c r="AA51" s="86"/>
    </row>
    <row r="52" spans="1:27" s="34" customFormat="1" ht="17.25" thickBot="1" x14ac:dyDescent="0.35">
      <c r="A52" s="25"/>
      <c r="B52" s="108" t="s">
        <v>8</v>
      </c>
      <c r="C52" s="108"/>
      <c r="D52" s="117"/>
      <c r="E52" s="117"/>
      <c r="F52" s="117"/>
      <c r="G52" s="117"/>
      <c r="H52" s="136">
        <f>IFERROR(VLOOKUP(H51,'1 - Strom Erdgas Wärme Vgl'!H:AA,17,FALSE),"")</f>
        <v>0</v>
      </c>
      <c r="I52" s="47"/>
      <c r="J52" s="48"/>
      <c r="K52" s="48"/>
      <c r="L52" s="48"/>
      <c r="M52" s="48"/>
      <c r="N52" s="48"/>
      <c r="O52" s="33"/>
      <c r="P52" s="108"/>
      <c r="Q52" s="46"/>
      <c r="R52" s="46"/>
      <c r="S52" s="46"/>
      <c r="T52" s="46"/>
      <c r="U52" s="46"/>
      <c r="V52" s="32"/>
      <c r="W52" s="86"/>
      <c r="X52" s="86"/>
      <c r="Y52" s="86"/>
      <c r="Z52" s="86"/>
      <c r="AA52" s="86"/>
    </row>
    <row r="53" spans="1:27" s="34" customFormat="1" ht="17.25" thickBot="1" x14ac:dyDescent="0.35">
      <c r="A53" s="25"/>
      <c r="B53" s="108" t="s">
        <v>10</v>
      </c>
      <c r="C53" s="108"/>
      <c r="D53" s="117"/>
      <c r="E53" s="117"/>
      <c r="F53" s="117"/>
      <c r="G53" s="117"/>
      <c r="H53" s="254">
        <f>IFERROR(VLOOKUP(H51,'1 - Strom Erdgas Wärme Vgl'!H:AA,18,FALSE),"")</f>
        <v>0</v>
      </c>
      <c r="I53" s="49"/>
      <c r="J53" s="50"/>
      <c r="K53" s="50"/>
      <c r="L53" s="50"/>
      <c r="M53" s="50"/>
      <c r="N53" s="50"/>
      <c r="O53" s="33" t="s">
        <v>4</v>
      </c>
      <c r="P53" s="108" t="s">
        <v>11</v>
      </c>
      <c r="Q53" s="46"/>
      <c r="R53" s="46"/>
      <c r="S53" s="46"/>
      <c r="T53" s="46"/>
      <c r="U53" s="46"/>
      <c r="V53" s="32"/>
      <c r="W53" s="86"/>
      <c r="X53" s="86"/>
      <c r="Y53" s="86"/>
      <c r="Z53" s="86"/>
      <c r="AA53" s="86"/>
    </row>
    <row r="54" spans="1:27" s="34" customFormat="1" ht="17.25" thickBot="1" x14ac:dyDescent="0.35">
      <c r="A54" s="25"/>
      <c r="B54" s="108" t="str">
        <f>IF(H53="Erdgas","Arbeitspreis pro kWh Erdgas in EUR",IF(H53="Strom","Arbeitspreis pro kWh Strom in EUR",IF(H53="Wärme/Kälte","Arbeitspreis pro kWh Wärme-/Kälte in EUR","Bitte Energieart auswählen!")))</f>
        <v>Bitte Energieart auswählen!</v>
      </c>
      <c r="C54" s="108"/>
      <c r="D54" s="117"/>
      <c r="E54" s="117"/>
      <c r="F54" s="117"/>
      <c r="G54" s="137">
        <f>IFERROR(SUMPRODUCT(I54:N54,I55:N55),"")</f>
        <v>0</v>
      </c>
      <c r="H54" s="108"/>
      <c r="I54" s="263"/>
      <c r="J54" s="263"/>
      <c r="K54" s="263"/>
      <c r="L54" s="263"/>
      <c r="M54" s="263"/>
      <c r="N54" s="263"/>
      <c r="O54" s="33" t="s">
        <v>4</v>
      </c>
      <c r="P54" s="108" t="str">
        <f>IF(OR(ISBLANK(H53),H53=0),"Bitte Energieart auswählen!",H53 &amp; "kosten exkl. Steuern, Abgaben, Netzentgelte, etc.")</f>
        <v>Bitte Energieart auswählen!</v>
      </c>
      <c r="Q54" s="32"/>
      <c r="R54" s="32"/>
      <c r="S54" s="51"/>
      <c r="T54" s="38"/>
      <c r="U54" s="39"/>
      <c r="V54" s="32"/>
      <c r="W54" s="86"/>
      <c r="X54" s="86"/>
      <c r="Y54" s="86"/>
      <c r="Z54" s="86"/>
      <c r="AA54" s="86"/>
    </row>
    <row r="55" spans="1:27" s="34" customFormat="1" ht="17.25" thickBot="1" x14ac:dyDescent="0.35">
      <c r="A55" s="25"/>
      <c r="B55" s="108" t="str">
        <f>IF(OR(ISBLANK(H53),H53=0),"Bitte Energieart auswählen!",IF(H52="Nein","Aliquoter ","") &amp; H53 &amp;"verbrauch in kWh " &amp; par_FZ_Text)</f>
        <v>Bitte Energieart auswählen!</v>
      </c>
      <c r="C55" s="108"/>
      <c r="D55" s="117"/>
      <c r="E55" s="117"/>
      <c r="F55" s="117"/>
      <c r="G55" s="117"/>
      <c r="H55" s="125">
        <f>SUM(I55:N55)</f>
        <v>0</v>
      </c>
      <c r="I55" s="255" t="str">
        <f>IFERROR(IF($H52="Nein",VLOOKUP(CONCATENATE($H51,"_",$H53),'1 - Strom Erdgas Wärme Vgl'!$W:$AA,5,FALSE)/par_VZ_Monate,""),"")</f>
        <v/>
      </c>
      <c r="J55" s="255" t="str">
        <f>IFERROR(IF($H52="Nein",VLOOKUP(CONCATENATE($H51,"_",$H53),'1 - Strom Erdgas Wärme Vgl'!$W:$AA,5,FALSE)/par_VZ_Monate,""),"")</f>
        <v/>
      </c>
      <c r="K55" s="255" t="str">
        <f>IFERROR(IF($H52="Nein",VLOOKUP(CONCATENATE($H51,"_",$H53),'1 - Strom Erdgas Wärme Vgl'!$W:$AA,5,FALSE)/par_VZ_Monate,""),"")</f>
        <v/>
      </c>
      <c r="L55" s="255" t="str">
        <f>IFERROR(IF($H52="Nein",VLOOKUP(CONCATENATE($H51,"_",$H53),'1 - Strom Erdgas Wärme Vgl'!$W:$AA,5,FALSE)/par_VZ_Monate,""),"")</f>
        <v/>
      </c>
      <c r="M55" s="255" t="str">
        <f>IFERROR(IF($H52="Nein",VLOOKUP(CONCATENATE($H51,"_",$H53),'1 - Strom Erdgas Wärme Vgl'!$W:$AA,5,FALSE)/par_VZ_Monate,""),"")</f>
        <v/>
      </c>
      <c r="N55" s="255" t="str">
        <f>IFERROR(IF($H52="Nein",VLOOKUP(CONCATENATE($H51,"_",$H53),'1 - Strom Erdgas Wärme Vgl'!$W:$AA,5,FALSE)/par_VZ_Monate,""),"")</f>
        <v/>
      </c>
      <c r="O55" s="33" t="s">
        <v>4</v>
      </c>
      <c r="P55" s="134" t="str">
        <f>IFERROR(IF(H52="Nein","Vorbefüllte Verbrauchswerte wurden aliquot (d.h. 1/" &amp; par_VZ_Monate &amp; ") aus dem Jahr " &amp; par_Jahr1 &amp; " übernommen.","Bitte ergänzen Sie die monatlichen Verbrauchswerte gem. Lastprofilzähler"),"")</f>
        <v>Bitte ergänzen Sie die monatlichen Verbrauchswerte gem. Lastprofilzähler</v>
      </c>
      <c r="Q55" s="52"/>
      <c r="R55" s="52"/>
      <c r="S55" s="52"/>
      <c r="T55" s="52"/>
      <c r="U55" s="52"/>
      <c r="V55" s="52"/>
      <c r="W55" s="86"/>
      <c r="X55" s="86"/>
      <c r="Y55" s="86"/>
      <c r="Z55" s="86"/>
      <c r="AA55" s="86"/>
    </row>
    <row r="56" spans="1:27" x14ac:dyDescent="0.3">
      <c r="B56" s="108" t="str">
        <f>IF(H53="Wärme/Kälte","Energiemix: Anteil in % der aus Strom, Erdgas, Heizöl, Holzpellets und Hackschnitzel erzeugten Wärme/Kälte","")</f>
        <v/>
      </c>
      <c r="C56" s="31"/>
      <c r="D56" s="65"/>
      <c r="E56" s="65"/>
      <c r="F56" s="85">
        <f>IFERROR(SUMPRODUCT(I56:N56,I55:N55),"")</f>
        <v>0</v>
      </c>
      <c r="G56" s="85"/>
      <c r="H56" s="31"/>
      <c r="I56" s="264"/>
      <c r="J56" s="265"/>
      <c r="K56" s="264"/>
      <c r="L56" s="265"/>
      <c r="M56" s="264"/>
      <c r="N56" s="265"/>
      <c r="O56" s="33" t="str">
        <f>IF(H53="Wärme/Kälte","i","")</f>
        <v/>
      </c>
      <c r="P56" s="108" t="str">
        <f>IF(H53="Wärme/Kälte","Bitte geben Sie den Anteil in % (von 0 bis 100, ohne %-zeichen) der direkt aus Strom, Erdgas, Heizöl, Holzpellets und Hackschnitzel erzeugten Wärme/Kälte.","")</f>
        <v/>
      </c>
      <c r="Q56" s="31"/>
      <c r="R56" s="31"/>
      <c r="S56" s="31"/>
      <c r="T56" s="31"/>
      <c r="U56" s="31"/>
      <c r="V56" s="31"/>
      <c r="W56" s="86"/>
      <c r="X56" s="86"/>
      <c r="Y56" s="79"/>
      <c r="Z56" s="79"/>
      <c r="AA56" s="79"/>
    </row>
    <row r="57" spans="1:27" x14ac:dyDescent="0.3">
      <c r="B57" s="31"/>
      <c r="C57" s="31"/>
      <c r="D57" s="65"/>
      <c r="E57" s="65"/>
      <c r="F57" s="65"/>
      <c r="G57" s="65"/>
      <c r="H57" s="31"/>
      <c r="I57" s="31"/>
      <c r="J57" s="31"/>
      <c r="K57" s="31"/>
      <c r="L57" s="31"/>
      <c r="M57" s="31"/>
      <c r="N57" s="31"/>
      <c r="O57" s="33"/>
      <c r="P57" s="32"/>
      <c r="Q57" s="31"/>
      <c r="R57" s="31"/>
      <c r="S57" s="31"/>
      <c r="T57" s="31"/>
      <c r="U57" s="31"/>
      <c r="V57" s="31"/>
      <c r="W57" s="86"/>
      <c r="X57" s="86"/>
      <c r="Y57" s="79"/>
      <c r="Z57" s="79"/>
      <c r="AA57" s="79"/>
    </row>
    <row r="58" spans="1:27" s="34" customFormat="1" ht="19.5" thickBot="1" x14ac:dyDescent="0.45">
      <c r="A58" s="25"/>
      <c r="B58" s="36" t="s">
        <v>6</v>
      </c>
      <c r="C58" s="108"/>
      <c r="D58" s="117"/>
      <c r="E58" s="117"/>
      <c r="F58" s="117"/>
      <c r="G58" s="117"/>
      <c r="H58" s="108"/>
      <c r="I58" s="135">
        <f>par_FZ_SEW_Start</f>
        <v>44927</v>
      </c>
      <c r="J58" s="135">
        <f>EOMONTH(I58,0)+1</f>
        <v>44958</v>
      </c>
      <c r="K58" s="135">
        <f t="shared" ref="K58" si="5">EOMONTH(J58,0)+1</f>
        <v>44986</v>
      </c>
      <c r="L58" s="135">
        <f t="shared" ref="L58" si="6">EOMONTH(K58,0)+1</f>
        <v>45017</v>
      </c>
      <c r="M58" s="135">
        <f t="shared" ref="M58" si="7">EOMONTH(L58,0)+1</f>
        <v>45047</v>
      </c>
      <c r="N58" s="135">
        <f t="shared" ref="N58" si="8">EOMONTH(M58,0)+1</f>
        <v>45078</v>
      </c>
      <c r="O58" s="32"/>
      <c r="P58" s="46"/>
      <c r="Q58" s="46"/>
      <c r="R58" s="46"/>
      <c r="S58" s="46"/>
      <c r="T58" s="46"/>
      <c r="U58" s="46"/>
      <c r="V58" s="32"/>
      <c r="W58" s="86"/>
      <c r="X58" s="86"/>
      <c r="Y58" s="86"/>
      <c r="Z58" s="86"/>
      <c r="AA58" s="86"/>
    </row>
    <row r="59" spans="1:27" s="34" customFormat="1" ht="17.25" thickBot="1" x14ac:dyDescent="0.35">
      <c r="A59" s="25"/>
      <c r="B59" s="108" t="s">
        <v>203</v>
      </c>
      <c r="C59" s="108"/>
      <c r="D59" s="117"/>
      <c r="E59" s="117"/>
      <c r="F59" s="117"/>
      <c r="G59" s="117"/>
      <c r="H59" s="262"/>
      <c r="I59" s="47"/>
      <c r="J59" s="48"/>
      <c r="K59" s="48"/>
      <c r="L59" s="48"/>
      <c r="M59" s="48"/>
      <c r="N59" s="48"/>
      <c r="O59" s="33" t="s">
        <v>4</v>
      </c>
      <c r="P59" s="108" t="s">
        <v>21</v>
      </c>
      <c r="Q59" s="46"/>
      <c r="R59" s="46"/>
      <c r="S59" s="46"/>
      <c r="T59" s="46"/>
      <c r="U59" s="46"/>
      <c r="V59" s="32"/>
      <c r="W59" s="86"/>
      <c r="X59" s="86"/>
      <c r="Y59" s="86"/>
      <c r="Z59" s="86"/>
      <c r="AA59" s="86"/>
    </row>
    <row r="60" spans="1:27" s="34" customFormat="1" ht="17.25" thickBot="1" x14ac:dyDescent="0.35">
      <c r="A60" s="25"/>
      <c r="B60" s="108" t="s">
        <v>8</v>
      </c>
      <c r="C60" s="108"/>
      <c r="D60" s="117"/>
      <c r="E60" s="117"/>
      <c r="F60" s="117"/>
      <c r="G60" s="117"/>
      <c r="H60" s="136">
        <f>IFERROR(VLOOKUP(H59,'1 - Strom Erdgas Wärme Vgl'!H:AA,17,FALSE),"")</f>
        <v>0</v>
      </c>
      <c r="I60" s="47"/>
      <c r="J60" s="48"/>
      <c r="K60" s="48"/>
      <c r="L60" s="48"/>
      <c r="M60" s="48"/>
      <c r="N60" s="48"/>
      <c r="O60" s="33"/>
      <c r="P60" s="108"/>
      <c r="Q60" s="46"/>
      <c r="R60" s="46"/>
      <c r="S60" s="46"/>
      <c r="T60" s="46"/>
      <c r="U60" s="46"/>
      <c r="V60" s="32"/>
      <c r="W60" s="86"/>
      <c r="X60" s="86"/>
      <c r="Y60" s="86"/>
      <c r="Z60" s="86"/>
      <c r="AA60" s="86"/>
    </row>
    <row r="61" spans="1:27" s="34" customFormat="1" ht="17.25" thickBot="1" x14ac:dyDescent="0.35">
      <c r="A61" s="25"/>
      <c r="B61" s="108" t="s">
        <v>10</v>
      </c>
      <c r="C61" s="108"/>
      <c r="D61" s="117"/>
      <c r="E61" s="117"/>
      <c r="F61" s="117"/>
      <c r="G61" s="117"/>
      <c r="H61" s="254">
        <f>IFERROR(VLOOKUP(H59,'1 - Strom Erdgas Wärme Vgl'!H:AA,18,FALSE),"")</f>
        <v>0</v>
      </c>
      <c r="I61" s="49"/>
      <c r="J61" s="50"/>
      <c r="K61" s="50"/>
      <c r="L61" s="50"/>
      <c r="M61" s="50"/>
      <c r="N61" s="50"/>
      <c r="O61" s="33" t="s">
        <v>4</v>
      </c>
      <c r="P61" s="108" t="s">
        <v>11</v>
      </c>
      <c r="Q61" s="46"/>
      <c r="R61" s="46"/>
      <c r="S61" s="46"/>
      <c r="T61" s="46"/>
      <c r="U61" s="46"/>
      <c r="V61" s="32"/>
      <c r="W61" s="86"/>
      <c r="X61" s="86"/>
      <c r="Y61" s="86"/>
      <c r="Z61" s="86"/>
      <c r="AA61" s="86"/>
    </row>
    <row r="62" spans="1:27" s="34" customFormat="1" ht="17.25" thickBot="1" x14ac:dyDescent="0.35">
      <c r="A62" s="25"/>
      <c r="B62" s="108" t="str">
        <f>IF(H61="Erdgas","Arbeitspreis pro kWh Erdgas in EUR",IF(H61="Strom","Arbeitspreis pro kWh Strom in EUR",IF(H61="Wärme/Kälte","Arbeitspreis pro kWh Wärme-/Kälte in EUR","Bitte Energieart auswählen!")))</f>
        <v>Bitte Energieart auswählen!</v>
      </c>
      <c r="C62" s="108"/>
      <c r="D62" s="117"/>
      <c r="E62" s="117"/>
      <c r="F62" s="117"/>
      <c r="G62" s="137">
        <f>IFERROR(SUMPRODUCT(I62:N62,I63:N63),"")</f>
        <v>0</v>
      </c>
      <c r="H62" s="108"/>
      <c r="I62" s="263"/>
      <c r="J62" s="263"/>
      <c r="K62" s="263"/>
      <c r="L62" s="263"/>
      <c r="M62" s="263"/>
      <c r="N62" s="263"/>
      <c r="O62" s="33" t="s">
        <v>4</v>
      </c>
      <c r="P62" s="108" t="str">
        <f>IF(OR(ISBLANK(H61),H61=0),"Bitte Energieart auswählen!",H61 &amp; "kosten exkl. Steuern, Abgaben, Netzentgelte, etc.")</f>
        <v>Bitte Energieart auswählen!</v>
      </c>
      <c r="Q62" s="32"/>
      <c r="R62" s="32"/>
      <c r="S62" s="51"/>
      <c r="T62" s="38"/>
      <c r="U62" s="39"/>
      <c r="V62" s="32"/>
      <c r="W62" s="86"/>
      <c r="X62" s="86"/>
      <c r="Y62" s="86"/>
      <c r="Z62" s="86"/>
      <c r="AA62" s="86"/>
    </row>
    <row r="63" spans="1:27" s="34" customFormat="1" ht="17.25" thickBot="1" x14ac:dyDescent="0.35">
      <c r="A63" s="25"/>
      <c r="B63" s="108" t="str">
        <f>IF(OR(ISBLANK(H61),H61=0),"Bitte Energieart auswählen!",IF(H60="Nein","Aliquoter ","") &amp; H61 &amp;"verbrauch in kWh " &amp; par_FZ_Text)</f>
        <v>Bitte Energieart auswählen!</v>
      </c>
      <c r="C63" s="108"/>
      <c r="D63" s="117"/>
      <c r="E63" s="117"/>
      <c r="F63" s="117"/>
      <c r="G63" s="117"/>
      <c r="H63" s="125">
        <f>SUM(I63:N63)</f>
        <v>0</v>
      </c>
      <c r="I63" s="255" t="str">
        <f>IFERROR(IF($H60="Nein",VLOOKUP(CONCATENATE($H59,"_",$H61),'1 - Strom Erdgas Wärme Vgl'!$W:$AA,5,FALSE)/par_VZ_Monate,""),"")</f>
        <v/>
      </c>
      <c r="J63" s="255" t="str">
        <f>IFERROR(IF($H60="Nein",VLOOKUP(CONCATENATE($H59,"_",$H61),'1 - Strom Erdgas Wärme Vgl'!$W:$AA,5,FALSE)/par_VZ_Monate,""),"")</f>
        <v/>
      </c>
      <c r="K63" s="255" t="str">
        <f>IFERROR(IF($H60="Nein",VLOOKUP(CONCATENATE($H59,"_",$H61),'1 - Strom Erdgas Wärme Vgl'!$W:$AA,5,FALSE)/par_VZ_Monate,""),"")</f>
        <v/>
      </c>
      <c r="L63" s="255" t="str">
        <f>IFERROR(IF($H60="Nein",VLOOKUP(CONCATENATE($H59,"_",$H61),'1 - Strom Erdgas Wärme Vgl'!$W:$AA,5,FALSE)/par_VZ_Monate,""),"")</f>
        <v/>
      </c>
      <c r="M63" s="255" t="str">
        <f>IFERROR(IF($H60="Nein",VLOOKUP(CONCATENATE($H59,"_",$H61),'1 - Strom Erdgas Wärme Vgl'!$W:$AA,5,FALSE)/par_VZ_Monate,""),"")</f>
        <v/>
      </c>
      <c r="N63" s="255" t="str">
        <f>IFERROR(IF($H60="Nein",VLOOKUP(CONCATENATE($H59,"_",$H61),'1 - Strom Erdgas Wärme Vgl'!$W:$AA,5,FALSE)/par_VZ_Monate,""),"")</f>
        <v/>
      </c>
      <c r="O63" s="33" t="s">
        <v>4</v>
      </c>
      <c r="P63" s="134" t="str">
        <f>IFERROR(IF(H60="Nein","Vorbefüllte Verbrauchswerte wurden aliquot (d.h. 1/" &amp; par_VZ_Monate &amp; ") aus dem Jahr " &amp; par_Jahr1 &amp; " übernommen.","Bitte ergänzen Sie die monatlichen Verbrauchswerte gem. Lastprofilzähler"),"")</f>
        <v>Bitte ergänzen Sie die monatlichen Verbrauchswerte gem. Lastprofilzähler</v>
      </c>
      <c r="Q63" s="52"/>
      <c r="R63" s="52"/>
      <c r="S63" s="52"/>
      <c r="T63" s="52"/>
      <c r="U63" s="52"/>
      <c r="V63" s="52"/>
      <c r="W63" s="86"/>
      <c r="X63" s="86"/>
      <c r="Y63" s="86"/>
      <c r="Z63" s="86"/>
      <c r="AA63" s="86"/>
    </row>
    <row r="64" spans="1:27" x14ac:dyDescent="0.3">
      <c r="B64" s="108" t="str">
        <f>IF(H61="Wärme/Kälte","Energiemix: Anteil in % der aus Strom, Erdgas, Heizöl, Holzpellets und Hackschnitzel erzeugten Wärme/Kälte","")</f>
        <v/>
      </c>
      <c r="C64" s="31"/>
      <c r="D64" s="65"/>
      <c r="E64" s="65"/>
      <c r="F64" s="85">
        <f>IFERROR(SUMPRODUCT(I64:N64,I63:N63),"")</f>
        <v>0</v>
      </c>
      <c r="G64" s="85"/>
      <c r="H64" s="31"/>
      <c r="I64" s="264"/>
      <c r="J64" s="265"/>
      <c r="K64" s="264"/>
      <c r="L64" s="265"/>
      <c r="M64" s="264"/>
      <c r="N64" s="265"/>
      <c r="O64" s="33" t="str">
        <f>IF(H61="Wärme/Kälte","i","")</f>
        <v/>
      </c>
      <c r="P64" s="108" t="str">
        <f>IF(H61="Wärme/Kälte","Bitte geben Sie den Anteil in % (von 0 bis 100, ohne %-zeichen) der direkt aus Strom, Erdgas, Heizöl, Holzpellets und Hackschnitzel erzeugten Wärme/Kälte.","")</f>
        <v/>
      </c>
      <c r="Q64" s="31"/>
      <c r="R64" s="31"/>
      <c r="S64" s="31"/>
      <c r="T64" s="31"/>
      <c r="U64" s="31"/>
      <c r="V64" s="31"/>
      <c r="W64" s="86"/>
      <c r="X64" s="86"/>
      <c r="Y64" s="79"/>
      <c r="Z64" s="79"/>
      <c r="AA64" s="79"/>
    </row>
    <row r="65" spans="1:27" x14ac:dyDescent="0.3">
      <c r="B65" s="31"/>
      <c r="C65" s="31"/>
      <c r="D65" s="65"/>
      <c r="E65" s="65"/>
      <c r="F65" s="65"/>
      <c r="G65" s="65"/>
      <c r="H65" s="31"/>
      <c r="I65" s="31"/>
      <c r="J65" s="31"/>
      <c r="K65" s="31"/>
      <c r="L65" s="31"/>
      <c r="M65" s="31"/>
      <c r="N65" s="31"/>
      <c r="O65" s="33"/>
      <c r="P65" s="32"/>
      <c r="Q65" s="31"/>
      <c r="R65" s="31"/>
      <c r="S65" s="31"/>
      <c r="T65" s="31"/>
      <c r="U65" s="31"/>
      <c r="V65" s="31"/>
      <c r="W65" s="86"/>
      <c r="X65" s="86"/>
      <c r="Y65" s="79"/>
      <c r="Z65" s="79"/>
      <c r="AA65" s="79"/>
    </row>
    <row r="66" spans="1:27" s="34" customFormat="1" ht="19.5" thickBot="1" x14ac:dyDescent="0.45">
      <c r="A66" s="25"/>
      <c r="B66" s="36" t="s">
        <v>6</v>
      </c>
      <c r="C66" s="108"/>
      <c r="D66" s="117"/>
      <c r="E66" s="117"/>
      <c r="F66" s="117"/>
      <c r="G66" s="117"/>
      <c r="H66" s="108"/>
      <c r="I66" s="135">
        <f>par_FZ_SEW_Start</f>
        <v>44927</v>
      </c>
      <c r="J66" s="135">
        <f>EOMONTH(I66,0)+1</f>
        <v>44958</v>
      </c>
      <c r="K66" s="135">
        <f t="shared" ref="K66" si="9">EOMONTH(J66,0)+1</f>
        <v>44986</v>
      </c>
      <c r="L66" s="135">
        <f t="shared" ref="L66" si="10">EOMONTH(K66,0)+1</f>
        <v>45017</v>
      </c>
      <c r="M66" s="135">
        <f t="shared" ref="M66" si="11">EOMONTH(L66,0)+1</f>
        <v>45047</v>
      </c>
      <c r="N66" s="135">
        <f t="shared" ref="N66" si="12">EOMONTH(M66,0)+1</f>
        <v>45078</v>
      </c>
      <c r="O66" s="32"/>
      <c r="P66" s="46"/>
      <c r="Q66" s="46"/>
      <c r="R66" s="46"/>
      <c r="S66" s="46"/>
      <c r="T66" s="46"/>
      <c r="U66" s="46"/>
      <c r="V66" s="32"/>
      <c r="W66" s="86"/>
      <c r="X66" s="86"/>
      <c r="Y66" s="86"/>
      <c r="Z66" s="86"/>
      <c r="AA66" s="86"/>
    </row>
    <row r="67" spans="1:27" s="34" customFormat="1" ht="17.25" thickBot="1" x14ac:dyDescent="0.35">
      <c r="A67" s="25"/>
      <c r="B67" s="108" t="s">
        <v>203</v>
      </c>
      <c r="C67" s="108"/>
      <c r="D67" s="117"/>
      <c r="E67" s="117"/>
      <c r="F67" s="117"/>
      <c r="G67" s="117"/>
      <c r="H67" s="262"/>
      <c r="I67" s="47"/>
      <c r="J67" s="48"/>
      <c r="K67" s="48"/>
      <c r="L67" s="48"/>
      <c r="M67" s="48"/>
      <c r="N67" s="48"/>
      <c r="O67" s="33" t="s">
        <v>4</v>
      </c>
      <c r="P67" s="108" t="s">
        <v>21</v>
      </c>
      <c r="Q67" s="46"/>
      <c r="R67" s="46"/>
      <c r="S67" s="46"/>
      <c r="T67" s="46"/>
      <c r="U67" s="46"/>
      <c r="V67" s="32"/>
      <c r="W67" s="86"/>
      <c r="X67" s="86"/>
      <c r="Y67" s="86"/>
      <c r="Z67" s="86"/>
      <c r="AA67" s="86"/>
    </row>
    <row r="68" spans="1:27" s="34" customFormat="1" ht="17.25" thickBot="1" x14ac:dyDescent="0.35">
      <c r="A68" s="25"/>
      <c r="B68" s="108" t="s">
        <v>8</v>
      </c>
      <c r="C68" s="108"/>
      <c r="D68" s="117"/>
      <c r="E68" s="117"/>
      <c r="F68" s="117"/>
      <c r="G68" s="117"/>
      <c r="H68" s="136">
        <f>IFERROR(VLOOKUP(H67,'1 - Strom Erdgas Wärme Vgl'!H:AA,17,FALSE),"")</f>
        <v>0</v>
      </c>
      <c r="I68" s="47"/>
      <c r="J68" s="48"/>
      <c r="K68" s="48"/>
      <c r="L68" s="48"/>
      <c r="M68" s="48"/>
      <c r="N68" s="48"/>
      <c r="O68" s="33"/>
      <c r="P68" s="108"/>
      <c r="Q68" s="46"/>
      <c r="R68" s="46"/>
      <c r="S68" s="46"/>
      <c r="T68" s="46"/>
      <c r="U68" s="46"/>
      <c r="V68" s="32"/>
      <c r="W68" s="86"/>
      <c r="X68" s="86"/>
      <c r="Y68" s="86"/>
      <c r="Z68" s="86"/>
      <c r="AA68" s="86"/>
    </row>
    <row r="69" spans="1:27" s="34" customFormat="1" ht="17.25" thickBot="1" x14ac:dyDescent="0.35">
      <c r="A69" s="25"/>
      <c r="B69" s="108" t="s">
        <v>10</v>
      </c>
      <c r="C69" s="108"/>
      <c r="D69" s="117"/>
      <c r="E69" s="117"/>
      <c r="F69" s="117"/>
      <c r="G69" s="117"/>
      <c r="H69" s="254">
        <f>IFERROR(VLOOKUP(H67,'1 - Strom Erdgas Wärme Vgl'!H:AA,18,FALSE),"")</f>
        <v>0</v>
      </c>
      <c r="I69" s="49"/>
      <c r="J69" s="50"/>
      <c r="K69" s="50"/>
      <c r="L69" s="50"/>
      <c r="M69" s="50"/>
      <c r="N69" s="50"/>
      <c r="O69" s="33" t="s">
        <v>4</v>
      </c>
      <c r="P69" s="108" t="s">
        <v>11</v>
      </c>
      <c r="Q69" s="46"/>
      <c r="R69" s="46"/>
      <c r="S69" s="46"/>
      <c r="T69" s="46"/>
      <c r="U69" s="46"/>
      <c r="V69" s="32"/>
      <c r="W69" s="86"/>
      <c r="X69" s="86"/>
      <c r="Y69" s="86"/>
      <c r="Z69" s="86"/>
      <c r="AA69" s="86"/>
    </row>
    <row r="70" spans="1:27" s="34" customFormat="1" ht="17.25" thickBot="1" x14ac:dyDescent="0.35">
      <c r="A70" s="25"/>
      <c r="B70" s="108" t="str">
        <f>IF(H69="Erdgas","Arbeitspreis pro kWh Erdgas in EUR",IF(H69="Strom","Arbeitspreis pro kWh Strom in EUR",IF(H69="Wärme/Kälte","Arbeitspreis pro kWh Wärme-/Kälte in EUR","Bitte Energieart auswählen!")))</f>
        <v>Bitte Energieart auswählen!</v>
      </c>
      <c r="C70" s="108"/>
      <c r="D70" s="117"/>
      <c r="E70" s="117"/>
      <c r="F70" s="117"/>
      <c r="G70" s="137">
        <f>IFERROR(SUMPRODUCT(I70:N70,I71:N71),"")</f>
        <v>0</v>
      </c>
      <c r="H70" s="108"/>
      <c r="I70" s="263"/>
      <c r="J70" s="263"/>
      <c r="K70" s="263"/>
      <c r="L70" s="263"/>
      <c r="M70" s="263"/>
      <c r="N70" s="263"/>
      <c r="O70" s="33" t="s">
        <v>4</v>
      </c>
      <c r="P70" s="108" t="str">
        <f>IF(OR(ISBLANK(H69),H69=0),"Bitte Energieart auswählen!",H69 &amp; "kosten exkl. Steuern, Abgaben, Netzentgelte, etc.")</f>
        <v>Bitte Energieart auswählen!</v>
      </c>
      <c r="Q70" s="32"/>
      <c r="R70" s="32"/>
      <c r="S70" s="51"/>
      <c r="T70" s="38"/>
      <c r="U70" s="39"/>
      <c r="V70" s="32"/>
      <c r="W70" s="86"/>
      <c r="X70" s="86"/>
      <c r="Y70" s="86"/>
      <c r="Z70" s="86"/>
      <c r="AA70" s="86"/>
    </row>
    <row r="71" spans="1:27" s="34" customFormat="1" ht="17.25" thickBot="1" x14ac:dyDescent="0.35">
      <c r="A71" s="25"/>
      <c r="B71" s="108" t="str">
        <f>IF(OR(ISBLANK(H69),H69=0),"Bitte Energieart auswählen!",IF(H68="Nein","Aliquoter ","") &amp; H69 &amp;"verbrauch in kWh " &amp; par_FZ_Text)</f>
        <v>Bitte Energieart auswählen!</v>
      </c>
      <c r="C71" s="108"/>
      <c r="D71" s="117"/>
      <c r="E71" s="117"/>
      <c r="F71" s="117"/>
      <c r="G71" s="117"/>
      <c r="H71" s="125">
        <f>SUM(I71:N71)</f>
        <v>0</v>
      </c>
      <c r="I71" s="255" t="str">
        <f>IFERROR(IF($H68="Nein",VLOOKUP(CONCATENATE($H67,"_",$H69),'1 - Strom Erdgas Wärme Vgl'!$W:$AA,5,FALSE)/par_VZ_Monate,""),"")</f>
        <v/>
      </c>
      <c r="J71" s="255" t="str">
        <f>IFERROR(IF($H68="Nein",VLOOKUP(CONCATENATE($H67,"_",$H69),'1 - Strom Erdgas Wärme Vgl'!$W:$AA,5,FALSE)/par_VZ_Monate,""),"")</f>
        <v/>
      </c>
      <c r="K71" s="255" t="str">
        <f>IFERROR(IF($H68="Nein",VLOOKUP(CONCATENATE($H67,"_",$H69),'1 - Strom Erdgas Wärme Vgl'!$W:$AA,5,FALSE)/par_VZ_Monate,""),"")</f>
        <v/>
      </c>
      <c r="L71" s="255" t="str">
        <f>IFERROR(IF($H68="Nein",VLOOKUP(CONCATENATE($H67,"_",$H69),'1 - Strom Erdgas Wärme Vgl'!$W:$AA,5,FALSE)/par_VZ_Monate,""),"")</f>
        <v/>
      </c>
      <c r="M71" s="255" t="str">
        <f>IFERROR(IF($H68="Nein",VLOOKUP(CONCATENATE($H67,"_",$H69),'1 - Strom Erdgas Wärme Vgl'!$W:$AA,5,FALSE)/par_VZ_Monate,""),"")</f>
        <v/>
      </c>
      <c r="N71" s="255" t="str">
        <f>IFERROR(IF($H68="Nein",VLOOKUP(CONCATENATE($H67,"_",$H69),'1 - Strom Erdgas Wärme Vgl'!$W:$AA,5,FALSE)/par_VZ_Monate,""),"")</f>
        <v/>
      </c>
      <c r="O71" s="33" t="s">
        <v>4</v>
      </c>
      <c r="P71" s="134" t="str">
        <f>IFERROR(IF(H68="Nein","Vorbefüllte Verbrauchswerte wurden aliquot (d.h. 1/" &amp; par_VZ_Monate &amp; ") aus dem Jahr " &amp; par_Jahr1 &amp; " übernommen.","Bitte ergänzen Sie die monatlichen Verbrauchswerte gem. Lastprofilzähler"),"")</f>
        <v>Bitte ergänzen Sie die monatlichen Verbrauchswerte gem. Lastprofilzähler</v>
      </c>
      <c r="Q71" s="52"/>
      <c r="R71" s="52"/>
      <c r="S71" s="52"/>
      <c r="T71" s="52"/>
      <c r="U71" s="52"/>
      <c r="V71" s="52"/>
      <c r="W71" s="86"/>
      <c r="X71" s="86"/>
      <c r="Y71" s="86"/>
      <c r="Z71" s="86"/>
      <c r="AA71" s="86"/>
    </row>
    <row r="72" spans="1:27" x14ac:dyDescent="0.3">
      <c r="B72" s="108" t="str">
        <f>IF(H69="Wärme/Kälte","Energiemix: Anteil in % der aus Strom, Erdgas, Heizöl, Holzpellets und Hackschnitzel erzeugten Wärme/Kälte","")</f>
        <v/>
      </c>
      <c r="C72" s="31"/>
      <c r="D72" s="65"/>
      <c r="E72" s="65"/>
      <c r="F72" s="85">
        <f>IFERROR(SUMPRODUCT(I72:N72,I71:N71),"")</f>
        <v>0</v>
      </c>
      <c r="G72" s="85"/>
      <c r="H72" s="31"/>
      <c r="I72" s="264"/>
      <c r="J72" s="265"/>
      <c r="K72" s="264"/>
      <c r="L72" s="265"/>
      <c r="M72" s="264"/>
      <c r="N72" s="265"/>
      <c r="O72" s="33" t="str">
        <f>IF(H69="Wärme/Kälte","i","")</f>
        <v/>
      </c>
      <c r="P72" s="108" t="str">
        <f>IF(H69="Wärme/Kälte","Bitte geben Sie den Anteil in % (von 0 bis 100, ohne %-zeichen) der direkt aus Strom, Erdgas, Heizöl, Holzpellets und Hackschnitzel erzeugten Wärme/Kälte.","")</f>
        <v/>
      </c>
      <c r="Q72" s="31"/>
      <c r="R72" s="31"/>
      <c r="S72" s="31"/>
      <c r="T72" s="31"/>
      <c r="U72" s="31"/>
      <c r="V72" s="31"/>
      <c r="W72" s="86"/>
      <c r="X72" s="86"/>
      <c r="Y72" s="79"/>
      <c r="Z72" s="79"/>
      <c r="AA72" s="79"/>
    </row>
    <row r="73" spans="1:27" x14ac:dyDescent="0.3">
      <c r="B73" s="31"/>
      <c r="C73" s="31"/>
      <c r="D73" s="65"/>
      <c r="E73" s="65"/>
      <c r="F73" s="65"/>
      <c r="G73" s="65"/>
      <c r="H73" s="31"/>
      <c r="I73" s="31"/>
      <c r="J73" s="31"/>
      <c r="K73" s="31"/>
      <c r="L73" s="31"/>
      <c r="M73" s="31"/>
      <c r="N73" s="31"/>
      <c r="O73" s="33"/>
      <c r="P73" s="32"/>
      <c r="Q73" s="31"/>
      <c r="R73" s="31"/>
      <c r="S73" s="31"/>
      <c r="T73" s="31"/>
      <c r="U73" s="31"/>
      <c r="V73" s="31"/>
      <c r="W73" s="86"/>
      <c r="X73" s="86"/>
      <c r="Y73" s="79"/>
      <c r="Z73" s="79"/>
      <c r="AA73" s="79"/>
    </row>
    <row r="74" spans="1:27" s="34" customFormat="1" ht="19.5" thickBot="1" x14ac:dyDescent="0.45">
      <c r="A74" s="25"/>
      <c r="B74" s="36" t="s">
        <v>6</v>
      </c>
      <c r="C74" s="108"/>
      <c r="D74" s="117"/>
      <c r="E74" s="117"/>
      <c r="F74" s="117"/>
      <c r="G74" s="117"/>
      <c r="H74" s="108"/>
      <c r="I74" s="135">
        <f>par_FZ_SEW_Start</f>
        <v>44927</v>
      </c>
      <c r="J74" s="135">
        <f>EOMONTH(I74,0)+1</f>
        <v>44958</v>
      </c>
      <c r="K74" s="135">
        <f t="shared" ref="K74" si="13">EOMONTH(J74,0)+1</f>
        <v>44986</v>
      </c>
      <c r="L74" s="135">
        <f t="shared" ref="L74" si="14">EOMONTH(K74,0)+1</f>
        <v>45017</v>
      </c>
      <c r="M74" s="135">
        <f t="shared" ref="M74" si="15">EOMONTH(L74,0)+1</f>
        <v>45047</v>
      </c>
      <c r="N74" s="135">
        <f t="shared" ref="N74" si="16">EOMONTH(M74,0)+1</f>
        <v>45078</v>
      </c>
      <c r="O74" s="32"/>
      <c r="P74" s="46"/>
      <c r="Q74" s="46"/>
      <c r="R74" s="46"/>
      <c r="S74" s="46"/>
      <c r="T74" s="46"/>
      <c r="U74" s="46"/>
      <c r="V74" s="32"/>
      <c r="W74" s="86"/>
      <c r="X74" s="86"/>
      <c r="Y74" s="86"/>
      <c r="Z74" s="86"/>
      <c r="AA74" s="86"/>
    </row>
    <row r="75" spans="1:27" s="34" customFormat="1" ht="17.25" thickBot="1" x14ac:dyDescent="0.35">
      <c r="A75" s="25"/>
      <c r="B75" s="108" t="s">
        <v>203</v>
      </c>
      <c r="C75" s="108"/>
      <c r="D75" s="117"/>
      <c r="E75" s="117"/>
      <c r="F75" s="117"/>
      <c r="G75" s="117"/>
      <c r="H75" s="262"/>
      <c r="I75" s="47"/>
      <c r="J75" s="48"/>
      <c r="K75" s="48"/>
      <c r="L75" s="48"/>
      <c r="M75" s="48"/>
      <c r="N75" s="48"/>
      <c r="O75" s="33" t="s">
        <v>4</v>
      </c>
      <c r="P75" s="108" t="s">
        <v>21</v>
      </c>
      <c r="Q75" s="46"/>
      <c r="R75" s="46"/>
      <c r="S75" s="46"/>
      <c r="T75" s="46"/>
      <c r="U75" s="46"/>
      <c r="V75" s="32"/>
      <c r="W75" s="86"/>
      <c r="X75" s="86"/>
      <c r="Y75" s="86"/>
      <c r="Z75" s="86"/>
      <c r="AA75" s="86"/>
    </row>
    <row r="76" spans="1:27" s="34" customFormat="1" ht="17.25" thickBot="1" x14ac:dyDescent="0.35">
      <c r="A76" s="25"/>
      <c r="B76" s="108" t="s">
        <v>8</v>
      </c>
      <c r="C76" s="108"/>
      <c r="D76" s="117"/>
      <c r="E76" s="117"/>
      <c r="F76" s="117"/>
      <c r="G76" s="117"/>
      <c r="H76" s="136">
        <f>IFERROR(VLOOKUP(H75,'1 - Strom Erdgas Wärme Vgl'!H:AA,17,FALSE),"")</f>
        <v>0</v>
      </c>
      <c r="I76" s="47"/>
      <c r="J76" s="48"/>
      <c r="K76" s="48"/>
      <c r="L76" s="48"/>
      <c r="M76" s="48"/>
      <c r="N76" s="48"/>
      <c r="O76" s="33"/>
      <c r="P76" s="108"/>
      <c r="Q76" s="46"/>
      <c r="R76" s="46"/>
      <c r="S76" s="46"/>
      <c r="T76" s="46"/>
      <c r="U76" s="46"/>
      <c r="V76" s="32"/>
      <c r="W76" s="86"/>
      <c r="X76" s="86"/>
      <c r="Y76" s="86"/>
      <c r="Z76" s="86"/>
      <c r="AA76" s="86"/>
    </row>
    <row r="77" spans="1:27" s="34" customFormat="1" ht="17.25" thickBot="1" x14ac:dyDescent="0.35">
      <c r="A77" s="25"/>
      <c r="B77" s="108" t="s">
        <v>10</v>
      </c>
      <c r="C77" s="108"/>
      <c r="D77" s="117"/>
      <c r="E77" s="117"/>
      <c r="F77" s="117"/>
      <c r="G77" s="117"/>
      <c r="H77" s="254">
        <f>IFERROR(VLOOKUP(H75,'1 - Strom Erdgas Wärme Vgl'!H:AA,18,FALSE),"")</f>
        <v>0</v>
      </c>
      <c r="I77" s="49"/>
      <c r="J77" s="50"/>
      <c r="K77" s="50"/>
      <c r="L77" s="50"/>
      <c r="M77" s="50"/>
      <c r="N77" s="50"/>
      <c r="O77" s="33" t="s">
        <v>4</v>
      </c>
      <c r="P77" s="108" t="s">
        <v>11</v>
      </c>
      <c r="Q77" s="46"/>
      <c r="R77" s="46"/>
      <c r="S77" s="46"/>
      <c r="T77" s="46"/>
      <c r="U77" s="46"/>
      <c r="V77" s="32"/>
      <c r="W77" s="86"/>
      <c r="X77" s="86"/>
      <c r="Y77" s="86"/>
      <c r="Z77" s="86"/>
      <c r="AA77" s="86"/>
    </row>
    <row r="78" spans="1:27" s="34" customFormat="1" ht="17.25" thickBot="1" x14ac:dyDescent="0.35">
      <c r="A78" s="25"/>
      <c r="B78" s="108" t="str">
        <f>IF(H77="Erdgas","Arbeitspreis pro kWh Erdgas in EUR",IF(H77="Strom","Arbeitspreis pro kWh Strom in EUR",IF(H77="Wärme/Kälte","Arbeitspreis pro kWh Wärme-/Kälte in EUR","Bitte Energieart auswählen!")))</f>
        <v>Bitte Energieart auswählen!</v>
      </c>
      <c r="C78" s="108"/>
      <c r="D78" s="117"/>
      <c r="E78" s="117"/>
      <c r="F78" s="117"/>
      <c r="G78" s="137">
        <f>IFERROR(SUMPRODUCT(I78:N78,I79:N79),"")</f>
        <v>0</v>
      </c>
      <c r="H78" s="108"/>
      <c r="I78" s="263"/>
      <c r="J78" s="263"/>
      <c r="K78" s="263"/>
      <c r="L78" s="263"/>
      <c r="M78" s="263"/>
      <c r="N78" s="263"/>
      <c r="O78" s="33" t="s">
        <v>4</v>
      </c>
      <c r="P78" s="108" t="str">
        <f>IF(OR(ISBLANK(H77),H77=0),"Bitte Energieart auswählen!",H77 &amp; "kosten exkl. Steuern, Abgaben, Netzentgelte, etc.")</f>
        <v>Bitte Energieart auswählen!</v>
      </c>
      <c r="Q78" s="32"/>
      <c r="R78" s="32"/>
      <c r="S78" s="51"/>
      <c r="T78" s="38"/>
      <c r="U78" s="39"/>
      <c r="V78" s="32"/>
      <c r="W78" s="86"/>
      <c r="X78" s="86"/>
      <c r="Y78" s="86"/>
      <c r="Z78" s="86"/>
      <c r="AA78" s="86"/>
    </row>
    <row r="79" spans="1:27" s="34" customFormat="1" ht="17.25" thickBot="1" x14ac:dyDescent="0.35">
      <c r="A79" s="25"/>
      <c r="B79" s="108" t="str">
        <f>IF(OR(ISBLANK(H77),H77=0),"Bitte Energieart auswählen!",IF(H76="Nein","Aliquoter ","") &amp; H77 &amp;"verbrauch in kWh " &amp; par_FZ_Text)</f>
        <v>Bitte Energieart auswählen!</v>
      </c>
      <c r="C79" s="108"/>
      <c r="D79" s="117"/>
      <c r="E79" s="117"/>
      <c r="F79" s="117"/>
      <c r="G79" s="117"/>
      <c r="H79" s="125">
        <f>SUM(I79:N79)</f>
        <v>0</v>
      </c>
      <c r="I79" s="255" t="str">
        <f>IFERROR(IF($H76="Nein",VLOOKUP(CONCATENATE($H75,"_",$H77),'1 - Strom Erdgas Wärme Vgl'!$W:$AA,5,FALSE)/par_VZ_Monate,""),"")</f>
        <v/>
      </c>
      <c r="J79" s="255" t="str">
        <f>IFERROR(IF($H76="Nein",VLOOKUP(CONCATENATE($H75,"_",$H77),'1 - Strom Erdgas Wärme Vgl'!$W:$AA,5,FALSE)/par_VZ_Monate,""),"")</f>
        <v/>
      </c>
      <c r="K79" s="255" t="str">
        <f>IFERROR(IF($H76="Nein",VLOOKUP(CONCATENATE($H75,"_",$H77),'1 - Strom Erdgas Wärme Vgl'!$W:$AA,5,FALSE)/par_VZ_Monate,""),"")</f>
        <v/>
      </c>
      <c r="L79" s="255" t="str">
        <f>IFERROR(IF($H76="Nein",VLOOKUP(CONCATENATE($H75,"_",$H77),'1 - Strom Erdgas Wärme Vgl'!$W:$AA,5,FALSE)/par_VZ_Monate,""),"")</f>
        <v/>
      </c>
      <c r="M79" s="255" t="str">
        <f>IFERROR(IF($H76="Nein",VLOOKUP(CONCATENATE($H75,"_",$H77),'1 - Strom Erdgas Wärme Vgl'!$W:$AA,5,FALSE)/par_VZ_Monate,""),"")</f>
        <v/>
      </c>
      <c r="N79" s="255" t="str">
        <f>IFERROR(IF($H76="Nein",VLOOKUP(CONCATENATE($H75,"_",$H77),'1 - Strom Erdgas Wärme Vgl'!$W:$AA,5,FALSE)/par_VZ_Monate,""),"")</f>
        <v/>
      </c>
      <c r="O79" s="33" t="s">
        <v>4</v>
      </c>
      <c r="P79" s="134" t="str">
        <f>IFERROR(IF(H76="Nein","Vorbefüllte Verbrauchswerte wurden aliquot (d.h. 1/" &amp; par_VZ_Monate &amp; ") aus dem Jahr " &amp; par_Jahr1 &amp; " übernommen.","Bitte ergänzen Sie die monatlichen Verbrauchswerte gem. Lastprofilzähler"),"")</f>
        <v>Bitte ergänzen Sie die monatlichen Verbrauchswerte gem. Lastprofilzähler</v>
      </c>
      <c r="Q79" s="52"/>
      <c r="R79" s="52"/>
      <c r="S79" s="52"/>
      <c r="T79" s="52"/>
      <c r="U79" s="52"/>
      <c r="V79" s="52"/>
      <c r="W79" s="86"/>
      <c r="X79" s="86"/>
      <c r="Y79" s="86"/>
      <c r="Z79" s="86"/>
      <c r="AA79" s="86"/>
    </row>
    <row r="80" spans="1:27" x14ac:dyDescent="0.3">
      <c r="B80" s="108" t="str">
        <f>IF(H77="Wärme/Kälte","Energiemix: Anteil in % der aus Strom, Erdgas, Heizöl, Holzpellets und Hackschnitzel erzeugten Wärme/Kälte","")</f>
        <v/>
      </c>
      <c r="C80" s="31"/>
      <c r="D80" s="65"/>
      <c r="E80" s="65"/>
      <c r="F80" s="85">
        <f>IFERROR(SUMPRODUCT(I80:N80,I79:N79),"")</f>
        <v>0</v>
      </c>
      <c r="G80" s="85"/>
      <c r="H80" s="31"/>
      <c r="I80" s="264"/>
      <c r="J80" s="265"/>
      <c r="K80" s="264"/>
      <c r="L80" s="265"/>
      <c r="M80" s="264"/>
      <c r="N80" s="265"/>
      <c r="O80" s="33" t="str">
        <f>IF(H77="Wärme/Kälte","i","")</f>
        <v/>
      </c>
      <c r="P80" s="108" t="str">
        <f>IF(H77="Wärme/Kälte","Bitte geben Sie den Anteil in % (von 0 bis 100, ohne %-zeichen) der direkt aus Strom, Erdgas, Heizöl, Holzpellets und Hackschnitzel erzeugten Wärme/Kälte.","")</f>
        <v/>
      </c>
      <c r="Q80" s="31"/>
      <c r="R80" s="31"/>
      <c r="S80" s="31"/>
      <c r="T80" s="31"/>
      <c r="U80" s="31"/>
      <c r="V80" s="31"/>
      <c r="W80" s="86"/>
      <c r="X80" s="86"/>
      <c r="Y80" s="79"/>
      <c r="Z80" s="79"/>
      <c r="AA80" s="79"/>
    </row>
    <row r="81" spans="1:27" x14ac:dyDescent="0.3">
      <c r="B81" s="31"/>
      <c r="C81" s="31"/>
      <c r="D81" s="65"/>
      <c r="E81" s="65"/>
      <c r="F81" s="65"/>
      <c r="G81" s="65"/>
      <c r="H81" s="31"/>
      <c r="I81" s="31"/>
      <c r="J81" s="31"/>
      <c r="K81" s="31"/>
      <c r="L81" s="31"/>
      <c r="M81" s="31"/>
      <c r="N81" s="31"/>
      <c r="O81" s="33"/>
      <c r="P81" s="32"/>
      <c r="Q81" s="31"/>
      <c r="R81" s="31"/>
      <c r="S81" s="31"/>
      <c r="T81" s="31"/>
      <c r="U81" s="31"/>
      <c r="V81" s="31"/>
      <c r="W81" s="86"/>
      <c r="X81" s="86"/>
      <c r="Y81" s="79"/>
      <c r="Z81" s="79"/>
      <c r="AA81" s="79"/>
    </row>
    <row r="82" spans="1:27" s="34" customFormat="1" ht="19.5" thickBot="1" x14ac:dyDescent="0.45">
      <c r="A82" s="25"/>
      <c r="B82" s="36" t="s">
        <v>6</v>
      </c>
      <c r="C82" s="108"/>
      <c r="D82" s="117"/>
      <c r="E82" s="117"/>
      <c r="F82" s="117"/>
      <c r="G82" s="117"/>
      <c r="H82" s="108"/>
      <c r="I82" s="135">
        <f>par_FZ_SEW_Start</f>
        <v>44927</v>
      </c>
      <c r="J82" s="135">
        <f>EOMONTH(I82,0)+1</f>
        <v>44958</v>
      </c>
      <c r="K82" s="135">
        <f t="shared" ref="K82" si="17">EOMONTH(J82,0)+1</f>
        <v>44986</v>
      </c>
      <c r="L82" s="135">
        <f t="shared" ref="L82" si="18">EOMONTH(K82,0)+1</f>
        <v>45017</v>
      </c>
      <c r="M82" s="135">
        <f t="shared" ref="M82" si="19">EOMONTH(L82,0)+1</f>
        <v>45047</v>
      </c>
      <c r="N82" s="135">
        <f t="shared" ref="N82" si="20">EOMONTH(M82,0)+1</f>
        <v>45078</v>
      </c>
      <c r="O82" s="32"/>
      <c r="P82" s="46"/>
      <c r="Q82" s="46"/>
      <c r="R82" s="46"/>
      <c r="S82" s="46"/>
      <c r="T82" s="46"/>
      <c r="U82" s="46"/>
      <c r="V82" s="32"/>
      <c r="W82" s="86"/>
      <c r="X82" s="86"/>
      <c r="Y82" s="86"/>
      <c r="Z82" s="86"/>
      <c r="AA82" s="86"/>
    </row>
    <row r="83" spans="1:27" s="34" customFormat="1" ht="17.25" thickBot="1" x14ac:dyDescent="0.35">
      <c r="A83" s="25"/>
      <c r="B83" s="108" t="s">
        <v>203</v>
      </c>
      <c r="C83" s="108"/>
      <c r="D83" s="117"/>
      <c r="E83" s="117"/>
      <c r="F83" s="117"/>
      <c r="G83" s="117"/>
      <c r="H83" s="262"/>
      <c r="I83" s="47"/>
      <c r="J83" s="48"/>
      <c r="K83" s="48"/>
      <c r="L83" s="48"/>
      <c r="M83" s="48"/>
      <c r="N83" s="48"/>
      <c r="O83" s="33" t="s">
        <v>4</v>
      </c>
      <c r="P83" s="108" t="s">
        <v>21</v>
      </c>
      <c r="Q83" s="46"/>
      <c r="R83" s="46"/>
      <c r="S83" s="46"/>
      <c r="T83" s="46"/>
      <c r="U83" s="46"/>
      <c r="V83" s="32"/>
      <c r="W83" s="86"/>
      <c r="X83" s="86"/>
      <c r="Y83" s="86"/>
      <c r="Z83" s="86"/>
      <c r="AA83" s="86"/>
    </row>
    <row r="84" spans="1:27" s="34" customFormat="1" ht="17.25" thickBot="1" x14ac:dyDescent="0.35">
      <c r="A84" s="25"/>
      <c r="B84" s="108" t="s">
        <v>8</v>
      </c>
      <c r="C84" s="108"/>
      <c r="D84" s="117"/>
      <c r="E84" s="117"/>
      <c r="F84" s="117"/>
      <c r="G84" s="117"/>
      <c r="H84" s="136">
        <f>IFERROR(VLOOKUP(H83,'1 - Strom Erdgas Wärme Vgl'!H:AA,17,FALSE),"")</f>
        <v>0</v>
      </c>
      <c r="I84" s="47"/>
      <c r="J84" s="48"/>
      <c r="K84" s="48"/>
      <c r="L84" s="48"/>
      <c r="M84" s="48"/>
      <c r="N84" s="48"/>
      <c r="O84" s="33"/>
      <c r="P84" s="108"/>
      <c r="Q84" s="46"/>
      <c r="R84" s="46"/>
      <c r="S84" s="46"/>
      <c r="T84" s="46"/>
      <c r="U84" s="46"/>
      <c r="V84" s="32"/>
      <c r="W84" s="86"/>
      <c r="X84" s="86"/>
      <c r="Y84" s="86"/>
      <c r="Z84" s="86"/>
      <c r="AA84" s="86"/>
    </row>
    <row r="85" spans="1:27" s="34" customFormat="1" ht="17.25" thickBot="1" x14ac:dyDescent="0.35">
      <c r="A85" s="25"/>
      <c r="B85" s="108" t="s">
        <v>10</v>
      </c>
      <c r="C85" s="108"/>
      <c r="D85" s="117"/>
      <c r="E85" s="117"/>
      <c r="F85" s="117"/>
      <c r="G85" s="117"/>
      <c r="H85" s="254">
        <f>IFERROR(VLOOKUP(H83,'1 - Strom Erdgas Wärme Vgl'!H:AA,18,FALSE),"")</f>
        <v>0</v>
      </c>
      <c r="I85" s="49"/>
      <c r="J85" s="50"/>
      <c r="K85" s="50"/>
      <c r="L85" s="50"/>
      <c r="M85" s="50"/>
      <c r="N85" s="50"/>
      <c r="O85" s="33" t="s">
        <v>4</v>
      </c>
      <c r="P85" s="108" t="s">
        <v>11</v>
      </c>
      <c r="Q85" s="46"/>
      <c r="R85" s="46"/>
      <c r="S85" s="46"/>
      <c r="T85" s="46"/>
      <c r="U85" s="46"/>
      <c r="V85" s="32"/>
      <c r="W85" s="86"/>
      <c r="X85" s="86"/>
      <c r="Y85" s="86"/>
      <c r="Z85" s="86"/>
      <c r="AA85" s="86"/>
    </row>
    <row r="86" spans="1:27" s="34" customFormat="1" ht="17.25" thickBot="1" x14ac:dyDescent="0.35">
      <c r="A86" s="25"/>
      <c r="B86" s="108" t="str">
        <f>IF(H85="Erdgas","Arbeitspreis pro kWh Erdgas in EUR",IF(H85="Strom","Arbeitspreis pro kWh Strom in EUR",IF(H85="Wärme/Kälte","Arbeitspreis pro kWh Wärme-/Kälte in EUR","Bitte Energieart auswählen!")))</f>
        <v>Bitte Energieart auswählen!</v>
      </c>
      <c r="C86" s="108"/>
      <c r="D86" s="117"/>
      <c r="E86" s="117"/>
      <c r="F86" s="117"/>
      <c r="G86" s="137">
        <f>IFERROR(SUMPRODUCT(I86:N86,I87:N87),"")</f>
        <v>0</v>
      </c>
      <c r="H86" s="108"/>
      <c r="I86" s="263"/>
      <c r="J86" s="263"/>
      <c r="K86" s="263"/>
      <c r="L86" s="263"/>
      <c r="M86" s="263"/>
      <c r="N86" s="263"/>
      <c r="O86" s="33" t="s">
        <v>4</v>
      </c>
      <c r="P86" s="108" t="str">
        <f>IF(OR(ISBLANK(H85),H85=0),"Bitte Energieart auswählen!",H85 &amp; "kosten exkl. Steuern, Abgaben, Netzentgelte, etc.")</f>
        <v>Bitte Energieart auswählen!</v>
      </c>
      <c r="Q86" s="32"/>
      <c r="R86" s="32"/>
      <c r="S86" s="51"/>
      <c r="T86" s="38"/>
      <c r="U86" s="39"/>
      <c r="V86" s="32"/>
      <c r="W86" s="86"/>
      <c r="X86" s="86"/>
      <c r="Y86" s="86"/>
      <c r="Z86" s="86"/>
      <c r="AA86" s="86"/>
    </row>
    <row r="87" spans="1:27" s="34" customFormat="1" ht="17.25" thickBot="1" x14ac:dyDescent="0.35">
      <c r="A87" s="25"/>
      <c r="B87" s="108" t="str">
        <f>IF(OR(ISBLANK(H85),H85=0),"Bitte Energieart auswählen!",IF(H84="Nein","Aliquoter ","") &amp; H85 &amp;"verbrauch in kWh " &amp; par_FZ_Text)</f>
        <v>Bitte Energieart auswählen!</v>
      </c>
      <c r="C87" s="108"/>
      <c r="D87" s="117"/>
      <c r="E87" s="117"/>
      <c r="F87" s="117"/>
      <c r="G87" s="117"/>
      <c r="H87" s="125">
        <f>SUM(I87:N87)</f>
        <v>0</v>
      </c>
      <c r="I87" s="255" t="str">
        <f>IFERROR(IF($H84="Nein",VLOOKUP(CONCATENATE($H83,"_",$H85),'1 - Strom Erdgas Wärme Vgl'!$W:$AA,5,FALSE)/par_VZ_Monate,""),"")</f>
        <v/>
      </c>
      <c r="J87" s="255" t="str">
        <f>IFERROR(IF($H84="Nein",VLOOKUP(CONCATENATE($H83,"_",$H85),'1 - Strom Erdgas Wärme Vgl'!$W:$AA,5,FALSE)/par_VZ_Monate,""),"")</f>
        <v/>
      </c>
      <c r="K87" s="255" t="str">
        <f>IFERROR(IF($H84="Nein",VLOOKUP(CONCATENATE($H83,"_",$H85),'1 - Strom Erdgas Wärme Vgl'!$W:$AA,5,FALSE)/par_VZ_Monate,""),"")</f>
        <v/>
      </c>
      <c r="L87" s="255" t="str">
        <f>IFERROR(IF($H84="Nein",VLOOKUP(CONCATENATE($H83,"_",$H85),'1 - Strom Erdgas Wärme Vgl'!$W:$AA,5,FALSE)/par_VZ_Monate,""),"")</f>
        <v/>
      </c>
      <c r="M87" s="255" t="str">
        <f>IFERROR(IF($H84="Nein",VLOOKUP(CONCATENATE($H83,"_",$H85),'1 - Strom Erdgas Wärme Vgl'!$W:$AA,5,FALSE)/par_VZ_Monate,""),"")</f>
        <v/>
      </c>
      <c r="N87" s="255" t="str">
        <f>IFERROR(IF($H84="Nein",VLOOKUP(CONCATENATE($H83,"_",$H85),'1 - Strom Erdgas Wärme Vgl'!$W:$AA,5,FALSE)/par_VZ_Monate,""),"")</f>
        <v/>
      </c>
      <c r="O87" s="33" t="s">
        <v>4</v>
      </c>
      <c r="P87" s="134" t="str">
        <f>IFERROR(IF(H84="Nein","Vorbefüllte Verbrauchswerte wurden aliquot (d.h. 1/" &amp; par_VZ_Monate &amp; ") aus dem Jahr " &amp; par_Jahr1 &amp; " übernommen.","Bitte ergänzen Sie die monatlichen Verbrauchswerte gem. Lastprofilzähler"),"")</f>
        <v>Bitte ergänzen Sie die monatlichen Verbrauchswerte gem. Lastprofilzähler</v>
      </c>
      <c r="Q87" s="52"/>
      <c r="R87" s="52"/>
      <c r="S87" s="52"/>
      <c r="T87" s="52"/>
      <c r="U87" s="52"/>
      <c r="V87" s="52"/>
      <c r="W87" s="86"/>
      <c r="X87" s="86"/>
      <c r="Y87" s="86"/>
      <c r="Z87" s="86"/>
      <c r="AA87" s="86"/>
    </row>
    <row r="88" spans="1:27" x14ac:dyDescent="0.3">
      <c r="B88" s="108" t="str">
        <f>IF(H85="Wärme/Kälte","Energiemix: Anteil in % der aus Strom, Erdgas, Heizöl, Holzpellets und Hackschnitzel erzeugten Wärme/Kälte","")</f>
        <v/>
      </c>
      <c r="C88" s="31"/>
      <c r="D88" s="65"/>
      <c r="E88" s="65"/>
      <c r="F88" s="85">
        <f>IFERROR(SUMPRODUCT(I88:N88,I87:N87),"")</f>
        <v>0</v>
      </c>
      <c r="G88" s="85"/>
      <c r="H88" s="31"/>
      <c r="I88" s="264"/>
      <c r="J88" s="265"/>
      <c r="K88" s="264"/>
      <c r="L88" s="265"/>
      <c r="M88" s="264"/>
      <c r="N88" s="265"/>
      <c r="O88" s="33" t="str">
        <f>IF(H85="Wärme/Kälte","i","")</f>
        <v/>
      </c>
      <c r="P88" s="108" t="str">
        <f>IF(H85="Wärme/Kälte","Bitte geben Sie den Anteil in % (von 0 bis 100, ohne %-zeichen) der direkt aus Strom, Erdgas, Heizöl, Holzpellets und Hackschnitzel erzeugten Wärme/Kälte.","")</f>
        <v/>
      </c>
      <c r="Q88" s="31"/>
      <c r="R88" s="31"/>
      <c r="S88" s="31"/>
      <c r="T88" s="31"/>
      <c r="U88" s="31"/>
      <c r="V88" s="31"/>
      <c r="W88" s="86"/>
      <c r="X88" s="86"/>
      <c r="Y88" s="79"/>
      <c r="Z88" s="79"/>
      <c r="AA88" s="79"/>
    </row>
    <row r="89" spans="1:27" x14ac:dyDescent="0.3">
      <c r="B89" s="31"/>
      <c r="C89" s="31"/>
      <c r="D89" s="65"/>
      <c r="E89" s="65"/>
      <c r="F89" s="65"/>
      <c r="G89" s="65"/>
      <c r="H89" s="31"/>
      <c r="I89" s="31"/>
      <c r="J89" s="31"/>
      <c r="K89" s="31"/>
      <c r="L89" s="31"/>
      <c r="M89" s="31"/>
      <c r="N89" s="31"/>
      <c r="O89" s="33"/>
      <c r="P89" s="32"/>
      <c r="Q89" s="31"/>
      <c r="R89" s="31"/>
      <c r="S89" s="31"/>
      <c r="T89" s="31"/>
      <c r="U89" s="31"/>
      <c r="V89" s="31"/>
      <c r="W89" s="86"/>
      <c r="X89" s="86"/>
      <c r="Y89" s="79"/>
      <c r="Z89" s="79"/>
      <c r="AA89" s="79"/>
    </row>
    <row r="90" spans="1:27" s="34" customFormat="1" ht="19.5" thickBot="1" x14ac:dyDescent="0.45">
      <c r="A90" s="25"/>
      <c r="B90" s="36" t="s">
        <v>6</v>
      </c>
      <c r="C90" s="108"/>
      <c r="D90" s="117"/>
      <c r="E90" s="117"/>
      <c r="F90" s="117"/>
      <c r="G90" s="117"/>
      <c r="H90" s="108"/>
      <c r="I90" s="135">
        <f>par_FZ_SEW_Start</f>
        <v>44927</v>
      </c>
      <c r="J90" s="135">
        <f>EOMONTH(I90,0)+1</f>
        <v>44958</v>
      </c>
      <c r="K90" s="135">
        <f t="shared" ref="K90" si="21">EOMONTH(J90,0)+1</f>
        <v>44986</v>
      </c>
      <c r="L90" s="135">
        <f t="shared" ref="L90" si="22">EOMONTH(K90,0)+1</f>
        <v>45017</v>
      </c>
      <c r="M90" s="135">
        <f t="shared" ref="M90" si="23">EOMONTH(L90,0)+1</f>
        <v>45047</v>
      </c>
      <c r="N90" s="135">
        <f t="shared" ref="N90" si="24">EOMONTH(M90,0)+1</f>
        <v>45078</v>
      </c>
      <c r="O90" s="32"/>
      <c r="P90" s="46"/>
      <c r="Q90" s="46"/>
      <c r="R90" s="46"/>
      <c r="S90" s="46"/>
      <c r="T90" s="46"/>
      <c r="U90" s="46"/>
      <c r="V90" s="32"/>
      <c r="W90" s="86"/>
      <c r="X90" s="86"/>
      <c r="Y90" s="86"/>
      <c r="Z90" s="86"/>
      <c r="AA90" s="86"/>
    </row>
    <row r="91" spans="1:27" s="34" customFormat="1" ht="17.25" thickBot="1" x14ac:dyDescent="0.35">
      <c r="A91" s="25"/>
      <c r="B91" s="108" t="s">
        <v>203</v>
      </c>
      <c r="C91" s="108"/>
      <c r="D91" s="117"/>
      <c r="E91" s="117"/>
      <c r="F91" s="117"/>
      <c r="G91" s="117"/>
      <c r="H91" s="262"/>
      <c r="I91" s="47"/>
      <c r="J91" s="48"/>
      <c r="K91" s="48"/>
      <c r="L91" s="48"/>
      <c r="M91" s="48"/>
      <c r="N91" s="48"/>
      <c r="O91" s="33" t="s">
        <v>4</v>
      </c>
      <c r="P91" s="108" t="s">
        <v>21</v>
      </c>
      <c r="Q91" s="46"/>
      <c r="R91" s="46"/>
      <c r="S91" s="46"/>
      <c r="T91" s="46"/>
      <c r="U91" s="46"/>
      <c r="V91" s="32"/>
      <c r="W91" s="86"/>
      <c r="X91" s="86"/>
      <c r="Y91" s="86"/>
      <c r="Z91" s="86"/>
      <c r="AA91" s="86"/>
    </row>
    <row r="92" spans="1:27" s="34" customFormat="1" ht="17.25" thickBot="1" x14ac:dyDescent="0.35">
      <c r="A92" s="25"/>
      <c r="B92" s="108" t="s">
        <v>8</v>
      </c>
      <c r="C92" s="108"/>
      <c r="D92" s="117"/>
      <c r="E92" s="117"/>
      <c r="F92" s="117"/>
      <c r="G92" s="117"/>
      <c r="H92" s="136">
        <f>IFERROR(VLOOKUP(H91,'1 - Strom Erdgas Wärme Vgl'!H:AA,17,FALSE),"")</f>
        <v>0</v>
      </c>
      <c r="I92" s="47"/>
      <c r="J92" s="48"/>
      <c r="K92" s="48"/>
      <c r="L92" s="48"/>
      <c r="M92" s="48"/>
      <c r="N92" s="48"/>
      <c r="O92" s="33"/>
      <c r="P92" s="108"/>
      <c r="Q92" s="46"/>
      <c r="R92" s="46"/>
      <c r="S92" s="46"/>
      <c r="T92" s="46"/>
      <c r="U92" s="46"/>
      <c r="V92" s="32"/>
      <c r="W92" s="86"/>
      <c r="X92" s="86"/>
      <c r="Y92" s="86"/>
      <c r="Z92" s="86"/>
      <c r="AA92" s="86"/>
    </row>
    <row r="93" spans="1:27" s="34" customFormat="1" ht="17.25" thickBot="1" x14ac:dyDescent="0.35">
      <c r="A93" s="25"/>
      <c r="B93" s="108" t="s">
        <v>10</v>
      </c>
      <c r="C93" s="108"/>
      <c r="D93" s="117"/>
      <c r="E93" s="117"/>
      <c r="F93" s="117"/>
      <c r="G93" s="117"/>
      <c r="H93" s="254">
        <f>IFERROR(VLOOKUP(H91,'1 - Strom Erdgas Wärme Vgl'!H:AA,18,FALSE),"")</f>
        <v>0</v>
      </c>
      <c r="I93" s="49"/>
      <c r="J93" s="50"/>
      <c r="K93" s="50"/>
      <c r="L93" s="50"/>
      <c r="M93" s="50"/>
      <c r="N93" s="50"/>
      <c r="O93" s="33" t="s">
        <v>4</v>
      </c>
      <c r="P93" s="108" t="s">
        <v>11</v>
      </c>
      <c r="Q93" s="46"/>
      <c r="R93" s="46"/>
      <c r="S93" s="46"/>
      <c r="T93" s="46"/>
      <c r="U93" s="46"/>
      <c r="V93" s="32"/>
      <c r="W93" s="86"/>
      <c r="X93" s="86"/>
      <c r="Y93" s="86"/>
      <c r="Z93" s="86"/>
      <c r="AA93" s="86"/>
    </row>
    <row r="94" spans="1:27" s="34" customFormat="1" ht="17.25" thickBot="1" x14ac:dyDescent="0.35">
      <c r="A94" s="25"/>
      <c r="B94" s="108" t="str">
        <f>IF(H93="Erdgas","Arbeitspreis pro kWh Erdgas in EUR",IF(H93="Strom","Arbeitspreis pro kWh Strom in EUR",IF(H93="Wärme/Kälte","Arbeitspreis pro kWh Wärme-/Kälte in EUR","Bitte Energieart auswählen!")))</f>
        <v>Bitte Energieart auswählen!</v>
      </c>
      <c r="C94" s="108"/>
      <c r="D94" s="117"/>
      <c r="E94" s="117"/>
      <c r="F94" s="117"/>
      <c r="G94" s="137">
        <f>IFERROR(SUMPRODUCT(I94:N94,I95:N95),"")</f>
        <v>0</v>
      </c>
      <c r="H94" s="108"/>
      <c r="I94" s="263"/>
      <c r="J94" s="263"/>
      <c r="K94" s="263"/>
      <c r="L94" s="263"/>
      <c r="M94" s="263"/>
      <c r="N94" s="263"/>
      <c r="O94" s="33" t="s">
        <v>4</v>
      </c>
      <c r="P94" s="108" t="str">
        <f>IF(OR(ISBLANK(H93),H93=0),"Bitte Energieart auswählen!",H93 &amp; "kosten exkl. Steuern, Abgaben, Netzentgelte, etc.")</f>
        <v>Bitte Energieart auswählen!</v>
      </c>
      <c r="Q94" s="32"/>
      <c r="R94" s="32"/>
      <c r="S94" s="51"/>
      <c r="T94" s="38"/>
      <c r="U94" s="39"/>
      <c r="V94" s="32"/>
      <c r="W94" s="86"/>
      <c r="X94" s="86"/>
      <c r="Y94" s="86"/>
      <c r="Z94" s="86"/>
      <c r="AA94" s="86"/>
    </row>
    <row r="95" spans="1:27" s="34" customFormat="1" ht="17.25" thickBot="1" x14ac:dyDescent="0.35">
      <c r="A95" s="25"/>
      <c r="B95" s="108" t="str">
        <f>IF(OR(ISBLANK(H93),H93=0),"Bitte Energieart auswählen!",IF(H92="Nein","Aliquoter ","") &amp; H93 &amp;"verbrauch in kWh " &amp; par_FZ_Text)</f>
        <v>Bitte Energieart auswählen!</v>
      </c>
      <c r="C95" s="108"/>
      <c r="D95" s="117"/>
      <c r="E95" s="117"/>
      <c r="F95" s="117"/>
      <c r="G95" s="117"/>
      <c r="H95" s="125">
        <f>SUM(I95:N95)</f>
        <v>0</v>
      </c>
      <c r="I95" s="255" t="str">
        <f>IFERROR(IF($H92="Nein",VLOOKUP(CONCATENATE($H91,"_",$H93),'1 - Strom Erdgas Wärme Vgl'!$W:$AA,5,FALSE)/par_VZ_Monate,""),"")</f>
        <v/>
      </c>
      <c r="J95" s="255" t="str">
        <f>IFERROR(IF($H92="Nein",VLOOKUP(CONCATENATE($H91,"_",$H93),'1 - Strom Erdgas Wärme Vgl'!$W:$AA,5,FALSE)/par_VZ_Monate,""),"")</f>
        <v/>
      </c>
      <c r="K95" s="255" t="str">
        <f>IFERROR(IF($H92="Nein",VLOOKUP(CONCATENATE($H91,"_",$H93),'1 - Strom Erdgas Wärme Vgl'!$W:$AA,5,FALSE)/par_VZ_Monate,""),"")</f>
        <v/>
      </c>
      <c r="L95" s="255" t="str">
        <f>IFERROR(IF($H92="Nein",VLOOKUP(CONCATENATE($H91,"_",$H93),'1 - Strom Erdgas Wärme Vgl'!$W:$AA,5,FALSE)/par_VZ_Monate,""),"")</f>
        <v/>
      </c>
      <c r="M95" s="255" t="str">
        <f>IFERROR(IF($H92="Nein",VLOOKUP(CONCATENATE($H91,"_",$H93),'1 - Strom Erdgas Wärme Vgl'!$W:$AA,5,FALSE)/par_VZ_Monate,""),"")</f>
        <v/>
      </c>
      <c r="N95" s="255" t="str">
        <f>IFERROR(IF($H92="Nein",VLOOKUP(CONCATENATE($H91,"_",$H93),'1 - Strom Erdgas Wärme Vgl'!$W:$AA,5,FALSE)/par_VZ_Monate,""),"")</f>
        <v/>
      </c>
      <c r="O95" s="33" t="s">
        <v>4</v>
      </c>
      <c r="P95" s="134" t="str">
        <f>IFERROR(IF(H92="Nein","Vorbefüllte Verbrauchswerte wurden aliquot (d.h. 1/" &amp; par_VZ_Monate &amp; ") aus dem Jahr " &amp; par_Jahr1 &amp; " übernommen.","Bitte ergänzen Sie die monatlichen Verbrauchswerte gem. Lastprofilzähler"),"")</f>
        <v>Bitte ergänzen Sie die monatlichen Verbrauchswerte gem. Lastprofilzähler</v>
      </c>
      <c r="Q95" s="52"/>
      <c r="R95" s="52"/>
      <c r="S95" s="52"/>
      <c r="T95" s="52"/>
      <c r="U95" s="52"/>
      <c r="V95" s="52"/>
      <c r="W95" s="86"/>
      <c r="X95" s="86"/>
      <c r="Y95" s="86"/>
      <c r="Z95" s="86"/>
      <c r="AA95" s="86"/>
    </row>
    <row r="96" spans="1:27" x14ac:dyDescent="0.3">
      <c r="B96" s="108" t="str">
        <f>IF(H93="Wärme/Kälte","Energiemix: Anteil in % der aus Strom, Erdgas, Heizöl, Holzpellets und Hackschnitzel erzeugten Wärme/Kälte","")</f>
        <v/>
      </c>
      <c r="C96" s="31"/>
      <c r="D96" s="65"/>
      <c r="E96" s="65"/>
      <c r="F96" s="85">
        <f>IFERROR(SUMPRODUCT(I96:N96,I95:N95),"")</f>
        <v>0</v>
      </c>
      <c r="G96" s="85"/>
      <c r="H96" s="31"/>
      <c r="I96" s="264"/>
      <c r="J96" s="265"/>
      <c r="K96" s="264"/>
      <c r="L96" s="265"/>
      <c r="M96" s="264"/>
      <c r="N96" s="265"/>
      <c r="O96" s="33" t="str">
        <f>IF(H93="Wärme/Kälte","i","")</f>
        <v/>
      </c>
      <c r="P96" s="108" t="str">
        <f>IF(H93="Wärme/Kälte","Bitte geben Sie den Anteil in % (von 0 bis 100, ohne %-zeichen) der direkt aus Strom, Erdgas, Heizöl, Holzpellets und Hackschnitzel erzeugten Wärme/Kälte.","")</f>
        <v/>
      </c>
      <c r="Q96" s="31"/>
      <c r="R96" s="31"/>
      <c r="S96" s="31"/>
      <c r="T96" s="31"/>
      <c r="U96" s="31"/>
      <c r="V96" s="31"/>
      <c r="W96" s="86"/>
      <c r="X96" s="86"/>
      <c r="Y96" s="79"/>
      <c r="Z96" s="79"/>
      <c r="AA96" s="79"/>
    </row>
    <row r="97" spans="1:27" x14ac:dyDescent="0.3">
      <c r="B97" s="31"/>
      <c r="C97" s="31"/>
      <c r="D97" s="65"/>
      <c r="E97" s="65"/>
      <c r="F97" s="65"/>
      <c r="G97" s="65"/>
      <c r="H97" s="31"/>
      <c r="I97" s="31"/>
      <c r="J97" s="31"/>
      <c r="K97" s="31"/>
      <c r="L97" s="31"/>
      <c r="M97" s="31"/>
      <c r="N97" s="31"/>
      <c r="O97" s="33"/>
      <c r="P97" s="32"/>
      <c r="Q97" s="31"/>
      <c r="R97" s="31"/>
      <c r="S97" s="31"/>
      <c r="T97" s="31"/>
      <c r="U97" s="31"/>
      <c r="V97" s="31"/>
      <c r="W97" s="86"/>
      <c r="X97" s="86"/>
      <c r="Y97" s="79"/>
      <c r="Z97" s="79"/>
      <c r="AA97" s="79"/>
    </row>
    <row r="98" spans="1:27" s="34" customFormat="1" ht="19.5" thickBot="1" x14ac:dyDescent="0.45">
      <c r="A98" s="25"/>
      <c r="B98" s="36" t="s">
        <v>6</v>
      </c>
      <c r="C98" s="108"/>
      <c r="D98" s="117"/>
      <c r="E98" s="117"/>
      <c r="F98" s="117"/>
      <c r="G98" s="117"/>
      <c r="H98" s="108"/>
      <c r="I98" s="135">
        <f>par_FZ_SEW_Start</f>
        <v>44927</v>
      </c>
      <c r="J98" s="135">
        <f>EOMONTH(I98,0)+1</f>
        <v>44958</v>
      </c>
      <c r="K98" s="135">
        <f t="shared" ref="K98" si="25">EOMONTH(J98,0)+1</f>
        <v>44986</v>
      </c>
      <c r="L98" s="135">
        <f t="shared" ref="L98" si="26">EOMONTH(K98,0)+1</f>
        <v>45017</v>
      </c>
      <c r="M98" s="135">
        <f t="shared" ref="M98" si="27">EOMONTH(L98,0)+1</f>
        <v>45047</v>
      </c>
      <c r="N98" s="135">
        <f t="shared" ref="N98" si="28">EOMONTH(M98,0)+1</f>
        <v>45078</v>
      </c>
      <c r="O98" s="32"/>
      <c r="P98" s="46"/>
      <c r="Q98" s="46"/>
      <c r="R98" s="46"/>
      <c r="S98" s="46"/>
      <c r="T98" s="46"/>
      <c r="U98" s="46"/>
      <c r="V98" s="32"/>
      <c r="W98" s="86"/>
      <c r="X98" s="86"/>
      <c r="Y98" s="86"/>
      <c r="Z98" s="86"/>
      <c r="AA98" s="86"/>
    </row>
    <row r="99" spans="1:27" s="34" customFormat="1" ht="17.25" thickBot="1" x14ac:dyDescent="0.35">
      <c r="A99" s="25"/>
      <c r="B99" s="108" t="s">
        <v>203</v>
      </c>
      <c r="C99" s="108"/>
      <c r="D99" s="117"/>
      <c r="E99" s="117"/>
      <c r="F99" s="117"/>
      <c r="G99" s="117"/>
      <c r="H99" s="262"/>
      <c r="I99" s="47"/>
      <c r="J99" s="48"/>
      <c r="K99" s="48"/>
      <c r="L99" s="48"/>
      <c r="M99" s="48"/>
      <c r="N99" s="48"/>
      <c r="O99" s="33" t="s">
        <v>4</v>
      </c>
      <c r="P99" s="108" t="s">
        <v>21</v>
      </c>
      <c r="Q99" s="46"/>
      <c r="R99" s="46"/>
      <c r="S99" s="46"/>
      <c r="T99" s="46"/>
      <c r="U99" s="46"/>
      <c r="V99" s="32"/>
      <c r="W99" s="86"/>
      <c r="X99" s="86"/>
      <c r="Y99" s="86"/>
      <c r="Z99" s="86"/>
      <c r="AA99" s="86"/>
    </row>
    <row r="100" spans="1:27" s="34" customFormat="1" ht="17.25" thickBot="1" x14ac:dyDescent="0.35">
      <c r="A100" s="25"/>
      <c r="B100" s="108" t="s">
        <v>8</v>
      </c>
      <c r="C100" s="108"/>
      <c r="D100" s="117"/>
      <c r="E100" s="117"/>
      <c r="F100" s="117"/>
      <c r="G100" s="117"/>
      <c r="H100" s="136">
        <f>IFERROR(VLOOKUP(H99,'1 - Strom Erdgas Wärme Vgl'!H:AA,17,FALSE),"")</f>
        <v>0</v>
      </c>
      <c r="I100" s="47"/>
      <c r="J100" s="48"/>
      <c r="K100" s="48"/>
      <c r="L100" s="48"/>
      <c r="M100" s="48"/>
      <c r="N100" s="48"/>
      <c r="O100" s="33"/>
      <c r="P100" s="108"/>
      <c r="Q100" s="46"/>
      <c r="R100" s="46"/>
      <c r="S100" s="46"/>
      <c r="T100" s="46"/>
      <c r="U100" s="46"/>
      <c r="V100" s="32"/>
      <c r="W100" s="86"/>
      <c r="X100" s="86"/>
      <c r="Y100" s="86"/>
      <c r="Z100" s="86"/>
      <c r="AA100" s="86"/>
    </row>
    <row r="101" spans="1:27" s="34" customFormat="1" ht="17.25" thickBot="1" x14ac:dyDescent="0.35">
      <c r="A101" s="25"/>
      <c r="B101" s="108" t="s">
        <v>10</v>
      </c>
      <c r="C101" s="108"/>
      <c r="D101" s="117"/>
      <c r="E101" s="117"/>
      <c r="F101" s="117"/>
      <c r="G101" s="117"/>
      <c r="H101" s="254">
        <f>IFERROR(VLOOKUP(H99,'1 - Strom Erdgas Wärme Vgl'!H:AA,18,FALSE),"")</f>
        <v>0</v>
      </c>
      <c r="I101" s="49"/>
      <c r="J101" s="50"/>
      <c r="K101" s="50"/>
      <c r="L101" s="50"/>
      <c r="M101" s="50"/>
      <c r="N101" s="50"/>
      <c r="O101" s="33" t="s">
        <v>4</v>
      </c>
      <c r="P101" s="108" t="s">
        <v>11</v>
      </c>
      <c r="Q101" s="46"/>
      <c r="R101" s="46"/>
      <c r="S101" s="46"/>
      <c r="T101" s="46"/>
      <c r="U101" s="46"/>
      <c r="V101" s="32"/>
      <c r="W101" s="86"/>
      <c r="X101" s="86"/>
      <c r="Y101" s="86"/>
      <c r="Z101" s="86"/>
      <c r="AA101" s="86"/>
    </row>
    <row r="102" spans="1:27" s="34" customFormat="1" ht="17.25" thickBot="1" x14ac:dyDescent="0.35">
      <c r="A102" s="25"/>
      <c r="B102" s="108" t="str">
        <f>IF(H101="Erdgas","Arbeitspreis pro kWh Erdgas in EUR",IF(H101="Strom","Arbeitspreis pro kWh Strom in EUR",IF(H101="Wärme/Kälte","Arbeitspreis pro kWh Wärme-/Kälte in EUR","Bitte Energieart auswählen!")))</f>
        <v>Bitte Energieart auswählen!</v>
      </c>
      <c r="C102" s="108"/>
      <c r="D102" s="117"/>
      <c r="E102" s="117"/>
      <c r="F102" s="117"/>
      <c r="G102" s="137">
        <f>IFERROR(SUMPRODUCT(I102:N102,I103:N103),"")</f>
        <v>0</v>
      </c>
      <c r="H102" s="108"/>
      <c r="I102" s="263"/>
      <c r="J102" s="263"/>
      <c r="K102" s="263"/>
      <c r="L102" s="263"/>
      <c r="M102" s="263"/>
      <c r="N102" s="263"/>
      <c r="O102" s="33" t="s">
        <v>4</v>
      </c>
      <c r="P102" s="108" t="str">
        <f>IF(OR(ISBLANK(H101),H101=0),"Bitte Energieart auswählen!",H101 &amp; "kosten exkl. Steuern, Abgaben, Netzentgelte, etc.")</f>
        <v>Bitte Energieart auswählen!</v>
      </c>
      <c r="Q102" s="32"/>
      <c r="R102" s="32"/>
      <c r="S102" s="51"/>
      <c r="T102" s="38"/>
      <c r="U102" s="39"/>
      <c r="V102" s="32"/>
      <c r="W102" s="86"/>
      <c r="X102" s="86"/>
      <c r="Y102" s="86"/>
      <c r="Z102" s="86"/>
      <c r="AA102" s="86"/>
    </row>
    <row r="103" spans="1:27" s="34" customFormat="1" ht="17.25" thickBot="1" x14ac:dyDescent="0.35">
      <c r="A103" s="25"/>
      <c r="B103" s="108" t="str">
        <f>IF(OR(ISBLANK(H101),H101=0),"Bitte Energieart auswählen!",IF(H100="Nein","Aliquoter ","") &amp; H101 &amp;"verbrauch in kWh " &amp; par_FZ_Text)</f>
        <v>Bitte Energieart auswählen!</v>
      </c>
      <c r="C103" s="108"/>
      <c r="D103" s="117"/>
      <c r="E103" s="117"/>
      <c r="F103" s="117"/>
      <c r="G103" s="117"/>
      <c r="H103" s="125">
        <f>SUM(I103:N103)</f>
        <v>0</v>
      </c>
      <c r="I103" s="255" t="str">
        <f>IFERROR(IF($H100="Nein",VLOOKUP(CONCATENATE($H99,"_",$H101),'1 - Strom Erdgas Wärme Vgl'!$W:$AA,5,FALSE)/par_VZ_Monate,""),"")</f>
        <v/>
      </c>
      <c r="J103" s="255" t="str">
        <f>IFERROR(IF($H100="Nein",VLOOKUP(CONCATENATE($H99,"_",$H101),'1 - Strom Erdgas Wärme Vgl'!$W:$AA,5,FALSE)/par_VZ_Monate,""),"")</f>
        <v/>
      </c>
      <c r="K103" s="255" t="str">
        <f>IFERROR(IF($H100="Nein",VLOOKUP(CONCATENATE($H99,"_",$H101),'1 - Strom Erdgas Wärme Vgl'!$W:$AA,5,FALSE)/par_VZ_Monate,""),"")</f>
        <v/>
      </c>
      <c r="L103" s="255" t="str">
        <f>IFERROR(IF($H100="Nein",VLOOKUP(CONCATENATE($H99,"_",$H101),'1 - Strom Erdgas Wärme Vgl'!$W:$AA,5,FALSE)/par_VZ_Monate,""),"")</f>
        <v/>
      </c>
      <c r="M103" s="255" t="str">
        <f>IFERROR(IF($H100="Nein",VLOOKUP(CONCATENATE($H99,"_",$H101),'1 - Strom Erdgas Wärme Vgl'!$W:$AA,5,FALSE)/par_VZ_Monate,""),"")</f>
        <v/>
      </c>
      <c r="N103" s="255" t="str">
        <f>IFERROR(IF($H100="Nein",VLOOKUP(CONCATENATE($H99,"_",$H101),'1 - Strom Erdgas Wärme Vgl'!$W:$AA,5,FALSE)/par_VZ_Monate,""),"")</f>
        <v/>
      </c>
      <c r="O103" s="33" t="s">
        <v>4</v>
      </c>
      <c r="P103" s="134" t="str">
        <f>IFERROR(IF(H100="Nein","Vorbefüllte Verbrauchswerte wurden aliquot (d.h. 1/" &amp; par_VZ_Monate &amp; ") aus dem Jahr " &amp; par_Jahr1 &amp; " übernommen.","Bitte ergänzen Sie die monatlichen Verbrauchswerte gem. Lastprofilzähler"),"")</f>
        <v>Bitte ergänzen Sie die monatlichen Verbrauchswerte gem. Lastprofilzähler</v>
      </c>
      <c r="Q103" s="52"/>
      <c r="R103" s="52"/>
      <c r="S103" s="52"/>
      <c r="T103" s="52"/>
      <c r="U103" s="52"/>
      <c r="V103" s="52"/>
      <c r="W103" s="86"/>
      <c r="X103" s="86"/>
      <c r="Y103" s="86"/>
      <c r="Z103" s="86"/>
      <c r="AA103" s="86"/>
    </row>
    <row r="104" spans="1:27" x14ac:dyDescent="0.3">
      <c r="B104" s="108" t="str">
        <f>IF(H101="Wärme/Kälte","Energiemix: Anteil in % der aus Strom, Erdgas, Heizöl, Holzpellets und Hackschnitzel erzeugten Wärme/Kälte","")</f>
        <v/>
      </c>
      <c r="C104" s="31"/>
      <c r="D104" s="65"/>
      <c r="E104" s="65"/>
      <c r="F104" s="85">
        <f>IFERROR(SUMPRODUCT(I104:N104,I103:N103),"")</f>
        <v>0</v>
      </c>
      <c r="G104" s="85"/>
      <c r="H104" s="31"/>
      <c r="I104" s="264"/>
      <c r="J104" s="265"/>
      <c r="K104" s="264"/>
      <c r="L104" s="265"/>
      <c r="M104" s="264"/>
      <c r="N104" s="265"/>
      <c r="O104" s="33" t="str">
        <f>IF(H101="Wärme/Kälte","i","")</f>
        <v/>
      </c>
      <c r="P104" s="108" t="str">
        <f>IF(H101="Wärme/Kälte","Bitte geben Sie den Anteil in % (von 0 bis 100, ohne %-zeichen) der direkt aus Strom, Erdgas, Heizöl, Holzpellets und Hackschnitzel erzeugten Wärme/Kälte.","")</f>
        <v/>
      </c>
      <c r="Q104" s="31"/>
      <c r="R104" s="31"/>
      <c r="S104" s="31"/>
      <c r="T104" s="31"/>
      <c r="U104" s="31"/>
      <c r="V104" s="31"/>
      <c r="W104" s="86"/>
      <c r="X104" s="86"/>
      <c r="Y104" s="79"/>
      <c r="Z104" s="79"/>
      <c r="AA104" s="79"/>
    </row>
    <row r="105" spans="1:27" x14ac:dyDescent="0.3">
      <c r="B105" s="31"/>
      <c r="C105" s="31"/>
      <c r="D105" s="65"/>
      <c r="E105" s="65"/>
      <c r="F105" s="65"/>
      <c r="G105" s="65"/>
      <c r="H105" s="31"/>
      <c r="I105" s="31"/>
      <c r="J105" s="31"/>
      <c r="K105" s="31"/>
      <c r="L105" s="31"/>
      <c r="M105" s="31"/>
      <c r="N105" s="31"/>
      <c r="O105" s="33"/>
      <c r="P105" s="32"/>
      <c r="Q105" s="31"/>
      <c r="R105" s="31"/>
      <c r="S105" s="31"/>
      <c r="T105" s="31"/>
      <c r="U105" s="31"/>
      <c r="V105" s="31"/>
      <c r="W105" s="86"/>
      <c r="X105" s="86"/>
      <c r="Y105" s="79"/>
      <c r="Z105" s="79"/>
      <c r="AA105" s="79"/>
    </row>
    <row r="106" spans="1:27" s="34" customFormat="1" ht="19.5" thickBot="1" x14ac:dyDescent="0.45">
      <c r="A106" s="25"/>
      <c r="B106" s="36" t="s">
        <v>6</v>
      </c>
      <c r="C106" s="108"/>
      <c r="D106" s="117"/>
      <c r="E106" s="117"/>
      <c r="F106" s="117"/>
      <c r="G106" s="117"/>
      <c r="H106" s="108"/>
      <c r="I106" s="135">
        <f>par_FZ_SEW_Start</f>
        <v>44927</v>
      </c>
      <c r="J106" s="135">
        <f>EOMONTH(I106,0)+1</f>
        <v>44958</v>
      </c>
      <c r="K106" s="135">
        <f t="shared" ref="K106" si="29">EOMONTH(J106,0)+1</f>
        <v>44986</v>
      </c>
      <c r="L106" s="135">
        <f t="shared" ref="L106" si="30">EOMONTH(K106,0)+1</f>
        <v>45017</v>
      </c>
      <c r="M106" s="135">
        <f t="shared" ref="M106" si="31">EOMONTH(L106,0)+1</f>
        <v>45047</v>
      </c>
      <c r="N106" s="135">
        <f t="shared" ref="N106" si="32">EOMONTH(M106,0)+1</f>
        <v>45078</v>
      </c>
      <c r="O106" s="32"/>
      <c r="P106" s="46"/>
      <c r="Q106" s="46"/>
      <c r="R106" s="46"/>
      <c r="S106" s="46"/>
      <c r="T106" s="46"/>
      <c r="U106" s="46"/>
      <c r="V106" s="32"/>
      <c r="W106" s="86"/>
      <c r="X106" s="86"/>
      <c r="Y106" s="86"/>
      <c r="Z106" s="86"/>
      <c r="AA106" s="86"/>
    </row>
    <row r="107" spans="1:27" s="34" customFormat="1" ht="17.25" thickBot="1" x14ac:dyDescent="0.35">
      <c r="A107" s="25"/>
      <c r="B107" s="108" t="s">
        <v>203</v>
      </c>
      <c r="C107" s="108"/>
      <c r="D107" s="117"/>
      <c r="E107" s="117"/>
      <c r="F107" s="117"/>
      <c r="G107" s="117"/>
      <c r="H107" s="262"/>
      <c r="I107" s="47"/>
      <c r="J107" s="48"/>
      <c r="K107" s="48"/>
      <c r="L107" s="48"/>
      <c r="M107" s="48"/>
      <c r="N107" s="48"/>
      <c r="O107" s="33" t="s">
        <v>4</v>
      </c>
      <c r="P107" s="108" t="s">
        <v>21</v>
      </c>
      <c r="Q107" s="46"/>
      <c r="R107" s="46"/>
      <c r="S107" s="46"/>
      <c r="T107" s="46"/>
      <c r="U107" s="46"/>
      <c r="V107" s="32"/>
      <c r="W107" s="86"/>
      <c r="X107" s="86"/>
      <c r="Y107" s="86"/>
      <c r="Z107" s="86"/>
      <c r="AA107" s="86"/>
    </row>
    <row r="108" spans="1:27" s="34" customFormat="1" ht="17.25" thickBot="1" x14ac:dyDescent="0.35">
      <c r="A108" s="25"/>
      <c r="B108" s="108" t="s">
        <v>8</v>
      </c>
      <c r="C108" s="108"/>
      <c r="D108" s="117"/>
      <c r="E108" s="117"/>
      <c r="F108" s="117"/>
      <c r="G108" s="117"/>
      <c r="H108" s="136">
        <f>IFERROR(VLOOKUP(H107,'1 - Strom Erdgas Wärme Vgl'!H:AA,17,FALSE),"")</f>
        <v>0</v>
      </c>
      <c r="I108" s="47"/>
      <c r="J108" s="48"/>
      <c r="K108" s="48"/>
      <c r="L108" s="48"/>
      <c r="M108" s="48"/>
      <c r="N108" s="48"/>
      <c r="O108" s="33"/>
      <c r="P108" s="108"/>
      <c r="Q108" s="46"/>
      <c r="R108" s="46"/>
      <c r="S108" s="46"/>
      <c r="T108" s="46"/>
      <c r="U108" s="46"/>
      <c r="V108" s="32"/>
      <c r="W108" s="86"/>
      <c r="X108" s="86"/>
      <c r="Y108" s="86"/>
      <c r="Z108" s="86"/>
      <c r="AA108" s="86"/>
    </row>
    <row r="109" spans="1:27" s="34" customFormat="1" ht="17.25" thickBot="1" x14ac:dyDescent="0.35">
      <c r="A109" s="25"/>
      <c r="B109" s="108" t="s">
        <v>10</v>
      </c>
      <c r="C109" s="108"/>
      <c r="D109" s="117"/>
      <c r="E109" s="117"/>
      <c r="F109" s="117"/>
      <c r="G109" s="117"/>
      <c r="H109" s="254">
        <f>IFERROR(VLOOKUP(H107,'1 - Strom Erdgas Wärme Vgl'!H:AA,18,FALSE),"")</f>
        <v>0</v>
      </c>
      <c r="I109" s="49"/>
      <c r="J109" s="50"/>
      <c r="K109" s="50"/>
      <c r="L109" s="50"/>
      <c r="M109" s="50"/>
      <c r="N109" s="50"/>
      <c r="O109" s="33" t="s">
        <v>4</v>
      </c>
      <c r="P109" s="108" t="s">
        <v>11</v>
      </c>
      <c r="Q109" s="46"/>
      <c r="R109" s="46"/>
      <c r="S109" s="46"/>
      <c r="T109" s="46"/>
      <c r="U109" s="46"/>
      <c r="V109" s="32"/>
      <c r="W109" s="86"/>
      <c r="X109" s="86"/>
      <c r="Y109" s="86"/>
      <c r="Z109" s="86"/>
      <c r="AA109" s="86"/>
    </row>
    <row r="110" spans="1:27" s="34" customFormat="1" ht="17.25" thickBot="1" x14ac:dyDescent="0.35">
      <c r="A110" s="25"/>
      <c r="B110" s="108" t="str">
        <f>IF(H109="Erdgas","Arbeitspreis pro kWh Erdgas in EUR",IF(H109="Strom","Arbeitspreis pro kWh Strom in EUR",IF(H109="Wärme/Kälte","Arbeitspreis pro kWh Wärme-/Kälte in EUR","Bitte Energieart auswählen!")))</f>
        <v>Bitte Energieart auswählen!</v>
      </c>
      <c r="C110" s="108"/>
      <c r="D110" s="117"/>
      <c r="E110" s="117"/>
      <c r="F110" s="117"/>
      <c r="G110" s="137">
        <f>IFERROR(SUMPRODUCT(I110:N110,I111:N111),"")</f>
        <v>0</v>
      </c>
      <c r="H110" s="108"/>
      <c r="I110" s="263"/>
      <c r="J110" s="263"/>
      <c r="K110" s="263"/>
      <c r="L110" s="263"/>
      <c r="M110" s="263"/>
      <c r="N110" s="263"/>
      <c r="O110" s="33" t="s">
        <v>4</v>
      </c>
      <c r="P110" s="108" t="str">
        <f>IF(OR(ISBLANK(H109),H109=0),"Bitte Energieart auswählen!",H109 &amp; "kosten exkl. Steuern, Abgaben, Netzentgelte, etc.")</f>
        <v>Bitte Energieart auswählen!</v>
      </c>
      <c r="Q110" s="32"/>
      <c r="R110" s="32"/>
      <c r="S110" s="51"/>
      <c r="T110" s="38"/>
      <c r="U110" s="39"/>
      <c r="V110" s="32"/>
      <c r="W110" s="86"/>
      <c r="X110" s="86"/>
      <c r="Y110" s="86"/>
      <c r="Z110" s="86"/>
      <c r="AA110" s="86"/>
    </row>
    <row r="111" spans="1:27" s="34" customFormat="1" ht="17.25" thickBot="1" x14ac:dyDescent="0.35">
      <c r="A111" s="25"/>
      <c r="B111" s="108" t="str">
        <f>IF(OR(ISBLANK(H109),H109=0),"Bitte Energieart auswählen!",IF(H108="Nein","Aliquoter ","") &amp; H109 &amp;"verbrauch in kWh " &amp; par_FZ_Text)</f>
        <v>Bitte Energieart auswählen!</v>
      </c>
      <c r="C111" s="108"/>
      <c r="D111" s="117"/>
      <c r="E111" s="117"/>
      <c r="F111" s="117"/>
      <c r="G111" s="117"/>
      <c r="H111" s="125">
        <f>SUM(I111:N111)</f>
        <v>0</v>
      </c>
      <c r="I111" s="255" t="str">
        <f>IFERROR(IF($H108="Nein",VLOOKUP(CONCATENATE($H107,"_",$H109),'1 - Strom Erdgas Wärme Vgl'!$W:$AA,5,FALSE)/par_VZ_Monate,""),"")</f>
        <v/>
      </c>
      <c r="J111" s="255" t="str">
        <f>IFERROR(IF($H108="Nein",VLOOKUP(CONCATENATE($H107,"_",$H109),'1 - Strom Erdgas Wärme Vgl'!$W:$AA,5,FALSE)/par_VZ_Monate,""),"")</f>
        <v/>
      </c>
      <c r="K111" s="255" t="str">
        <f>IFERROR(IF($H108="Nein",VLOOKUP(CONCATENATE($H107,"_",$H109),'1 - Strom Erdgas Wärme Vgl'!$W:$AA,5,FALSE)/par_VZ_Monate,""),"")</f>
        <v/>
      </c>
      <c r="L111" s="255" t="str">
        <f>IFERROR(IF($H108="Nein",VLOOKUP(CONCATENATE($H107,"_",$H109),'1 - Strom Erdgas Wärme Vgl'!$W:$AA,5,FALSE)/par_VZ_Monate,""),"")</f>
        <v/>
      </c>
      <c r="M111" s="255" t="str">
        <f>IFERROR(IF($H108="Nein",VLOOKUP(CONCATENATE($H107,"_",$H109),'1 - Strom Erdgas Wärme Vgl'!$W:$AA,5,FALSE)/par_VZ_Monate,""),"")</f>
        <v/>
      </c>
      <c r="N111" s="255" t="str">
        <f>IFERROR(IF($H108="Nein",VLOOKUP(CONCATENATE($H107,"_",$H109),'1 - Strom Erdgas Wärme Vgl'!$W:$AA,5,FALSE)/par_VZ_Monate,""),"")</f>
        <v/>
      </c>
      <c r="O111" s="33" t="s">
        <v>4</v>
      </c>
      <c r="P111" s="134" t="str">
        <f>IFERROR(IF(H108="Nein","Vorbefüllte Verbrauchswerte wurden aliquot (d.h. 1/" &amp; par_VZ_Monate &amp; ") aus dem Jahr " &amp; par_Jahr1 &amp; " übernommen.","Bitte ergänzen Sie die monatlichen Verbrauchswerte gem. Lastprofilzähler"),"")</f>
        <v>Bitte ergänzen Sie die monatlichen Verbrauchswerte gem. Lastprofilzähler</v>
      </c>
      <c r="Q111" s="52"/>
      <c r="R111" s="52"/>
      <c r="S111" s="52"/>
      <c r="T111" s="52"/>
      <c r="U111" s="52"/>
      <c r="V111" s="52"/>
      <c r="W111" s="86"/>
      <c r="X111" s="86"/>
      <c r="Y111" s="86"/>
      <c r="Z111" s="86"/>
      <c r="AA111" s="86"/>
    </row>
    <row r="112" spans="1:27" x14ac:dyDescent="0.3">
      <c r="B112" s="108" t="str">
        <f>IF(H109="Wärme/Kälte","Energiemix: Anteil in % der aus Strom, Erdgas, Heizöl, Holzpellets und Hackschnitzel erzeugten Wärme/Kälte","")</f>
        <v/>
      </c>
      <c r="C112" s="31"/>
      <c r="D112" s="65"/>
      <c r="E112" s="65"/>
      <c r="F112" s="85">
        <f>IFERROR(SUMPRODUCT(I112:N112,I111:N111),"")</f>
        <v>0</v>
      </c>
      <c r="G112" s="85"/>
      <c r="H112" s="31"/>
      <c r="I112" s="264"/>
      <c r="J112" s="265"/>
      <c r="K112" s="264"/>
      <c r="L112" s="265"/>
      <c r="M112" s="264"/>
      <c r="N112" s="265"/>
      <c r="O112" s="33" t="str">
        <f>IF(H109="Wärme/Kälte","i","")</f>
        <v/>
      </c>
      <c r="P112" s="108" t="str">
        <f>IF(H109="Wärme/Kälte","Bitte geben Sie den Anteil in % (von 0 bis 100, ohne %-zeichen) der direkt aus Strom, Erdgas, Heizöl, Holzpellets und Hackschnitzel erzeugten Wärme/Kälte.","")</f>
        <v/>
      </c>
      <c r="Q112" s="31"/>
      <c r="R112" s="31"/>
      <c r="S112" s="31"/>
      <c r="T112" s="31"/>
      <c r="U112" s="31"/>
      <c r="V112" s="31"/>
      <c r="W112" s="86"/>
      <c r="X112" s="86"/>
      <c r="Y112" s="79"/>
      <c r="Z112" s="79"/>
      <c r="AA112" s="79"/>
    </row>
    <row r="113" spans="1:27" x14ac:dyDescent="0.3">
      <c r="B113" s="31"/>
      <c r="C113" s="31"/>
      <c r="D113" s="65"/>
      <c r="E113" s="65"/>
      <c r="F113" s="65"/>
      <c r="G113" s="65"/>
      <c r="H113" s="31"/>
      <c r="I113" s="31"/>
      <c r="J113" s="31"/>
      <c r="K113" s="31"/>
      <c r="L113" s="31"/>
      <c r="M113" s="31"/>
      <c r="N113" s="31"/>
      <c r="O113" s="33"/>
      <c r="P113" s="32"/>
      <c r="Q113" s="31"/>
      <c r="R113" s="31"/>
      <c r="S113" s="31"/>
      <c r="T113" s="31"/>
      <c r="U113" s="31"/>
      <c r="V113" s="31"/>
      <c r="W113" s="86"/>
      <c r="X113" s="86"/>
      <c r="Y113" s="79"/>
      <c r="Z113" s="79"/>
      <c r="AA113" s="79"/>
    </row>
    <row r="114" spans="1:27" s="34" customFormat="1" ht="19.5" thickBot="1" x14ac:dyDescent="0.45">
      <c r="A114" s="25"/>
      <c r="B114" s="36" t="s">
        <v>6</v>
      </c>
      <c r="C114" s="108"/>
      <c r="D114" s="117"/>
      <c r="E114" s="117"/>
      <c r="F114" s="117"/>
      <c r="G114" s="117"/>
      <c r="H114" s="108"/>
      <c r="I114" s="135">
        <f>par_FZ_SEW_Start</f>
        <v>44927</v>
      </c>
      <c r="J114" s="135">
        <f>EOMONTH(I114,0)+1</f>
        <v>44958</v>
      </c>
      <c r="K114" s="135">
        <f t="shared" ref="K114" si="33">EOMONTH(J114,0)+1</f>
        <v>44986</v>
      </c>
      <c r="L114" s="135">
        <f t="shared" ref="L114" si="34">EOMONTH(K114,0)+1</f>
        <v>45017</v>
      </c>
      <c r="M114" s="135">
        <f t="shared" ref="M114" si="35">EOMONTH(L114,0)+1</f>
        <v>45047</v>
      </c>
      <c r="N114" s="135">
        <f t="shared" ref="N114" si="36">EOMONTH(M114,0)+1</f>
        <v>45078</v>
      </c>
      <c r="O114" s="32"/>
      <c r="P114" s="46"/>
      <c r="Q114" s="46"/>
      <c r="R114" s="46"/>
      <c r="S114" s="46"/>
      <c r="T114" s="46"/>
      <c r="U114" s="46"/>
      <c r="V114" s="32"/>
      <c r="W114" s="86"/>
      <c r="X114" s="86"/>
      <c r="Y114" s="86"/>
      <c r="Z114" s="86"/>
      <c r="AA114" s="86"/>
    </row>
    <row r="115" spans="1:27" s="34" customFormat="1" ht="17.25" thickBot="1" x14ac:dyDescent="0.35">
      <c r="A115" s="25"/>
      <c r="B115" s="108" t="s">
        <v>203</v>
      </c>
      <c r="C115" s="108"/>
      <c r="D115" s="117"/>
      <c r="E115" s="117"/>
      <c r="F115" s="117"/>
      <c r="G115" s="117"/>
      <c r="H115" s="262"/>
      <c r="I115" s="47"/>
      <c r="J115" s="48"/>
      <c r="K115" s="48"/>
      <c r="L115" s="48"/>
      <c r="M115" s="48"/>
      <c r="N115" s="48"/>
      <c r="O115" s="33" t="s">
        <v>4</v>
      </c>
      <c r="P115" s="108" t="s">
        <v>21</v>
      </c>
      <c r="Q115" s="46"/>
      <c r="R115" s="46"/>
      <c r="S115" s="46"/>
      <c r="T115" s="46"/>
      <c r="U115" s="46"/>
      <c r="V115" s="32"/>
      <c r="W115" s="86"/>
      <c r="X115" s="86"/>
      <c r="Y115" s="86"/>
      <c r="Z115" s="86"/>
      <c r="AA115" s="86"/>
    </row>
    <row r="116" spans="1:27" s="34" customFormat="1" ht="17.25" thickBot="1" x14ac:dyDescent="0.35">
      <c r="A116" s="25"/>
      <c r="B116" s="108" t="s">
        <v>8</v>
      </c>
      <c r="C116" s="108"/>
      <c r="D116" s="117"/>
      <c r="E116" s="117"/>
      <c r="F116" s="117"/>
      <c r="G116" s="117"/>
      <c r="H116" s="136">
        <f>IFERROR(VLOOKUP(H115,'1 - Strom Erdgas Wärme Vgl'!H:AA,17,FALSE),"")</f>
        <v>0</v>
      </c>
      <c r="I116" s="47"/>
      <c r="J116" s="48"/>
      <c r="K116" s="48"/>
      <c r="L116" s="48"/>
      <c r="M116" s="48"/>
      <c r="N116" s="48"/>
      <c r="O116" s="33"/>
      <c r="P116" s="108"/>
      <c r="Q116" s="46"/>
      <c r="R116" s="46"/>
      <c r="S116" s="46"/>
      <c r="T116" s="46"/>
      <c r="U116" s="46"/>
      <c r="V116" s="32"/>
      <c r="W116" s="86"/>
      <c r="X116" s="86"/>
      <c r="Y116" s="86"/>
      <c r="Z116" s="86"/>
      <c r="AA116" s="86"/>
    </row>
    <row r="117" spans="1:27" s="34" customFormat="1" ht="17.25" thickBot="1" x14ac:dyDescent="0.35">
      <c r="A117" s="25"/>
      <c r="B117" s="108" t="s">
        <v>10</v>
      </c>
      <c r="C117" s="108"/>
      <c r="D117" s="117"/>
      <c r="E117" s="117"/>
      <c r="F117" s="117"/>
      <c r="G117" s="117"/>
      <c r="H117" s="254">
        <f>IFERROR(VLOOKUP(H115,'1 - Strom Erdgas Wärme Vgl'!H:AA,18,FALSE),"")</f>
        <v>0</v>
      </c>
      <c r="I117" s="49"/>
      <c r="J117" s="50"/>
      <c r="K117" s="50"/>
      <c r="L117" s="50"/>
      <c r="M117" s="50"/>
      <c r="N117" s="50"/>
      <c r="O117" s="33" t="s">
        <v>4</v>
      </c>
      <c r="P117" s="108" t="s">
        <v>11</v>
      </c>
      <c r="Q117" s="46"/>
      <c r="R117" s="46"/>
      <c r="S117" s="46"/>
      <c r="T117" s="46"/>
      <c r="U117" s="46"/>
      <c r="V117" s="32"/>
      <c r="W117" s="86"/>
      <c r="X117" s="86"/>
      <c r="Y117" s="86"/>
      <c r="Z117" s="86"/>
      <c r="AA117" s="86"/>
    </row>
    <row r="118" spans="1:27" s="34" customFormat="1" ht="17.25" thickBot="1" x14ac:dyDescent="0.35">
      <c r="A118" s="25"/>
      <c r="B118" s="108" t="str">
        <f>IF(H117="Erdgas","Arbeitspreis pro kWh Erdgas in EUR",IF(H117="Strom","Arbeitspreis pro kWh Strom in EUR",IF(H117="Wärme/Kälte","Arbeitspreis pro kWh Wärme-/Kälte in EUR","Bitte Energieart auswählen!")))</f>
        <v>Bitte Energieart auswählen!</v>
      </c>
      <c r="C118" s="108"/>
      <c r="D118" s="117"/>
      <c r="E118" s="117"/>
      <c r="F118" s="117"/>
      <c r="G118" s="137">
        <f>IFERROR(SUMPRODUCT(I118:N118,I119:N119),"")</f>
        <v>0</v>
      </c>
      <c r="H118" s="108"/>
      <c r="I118" s="263"/>
      <c r="J118" s="263"/>
      <c r="K118" s="263"/>
      <c r="L118" s="263"/>
      <c r="M118" s="263"/>
      <c r="N118" s="263"/>
      <c r="O118" s="33" t="s">
        <v>4</v>
      </c>
      <c r="P118" s="108" t="str">
        <f>IF(OR(ISBLANK(H117),H117=0),"Bitte Energieart auswählen!",H117 &amp; "kosten exkl. Steuern, Abgaben, Netzentgelte, etc.")</f>
        <v>Bitte Energieart auswählen!</v>
      </c>
      <c r="Q118" s="32"/>
      <c r="R118" s="32"/>
      <c r="S118" s="51"/>
      <c r="T118" s="38"/>
      <c r="U118" s="39"/>
      <c r="V118" s="32"/>
      <c r="W118" s="86"/>
      <c r="X118" s="86"/>
      <c r="Y118" s="86"/>
      <c r="Z118" s="86"/>
      <c r="AA118" s="86"/>
    </row>
    <row r="119" spans="1:27" s="34" customFormat="1" ht="17.25" thickBot="1" x14ac:dyDescent="0.35">
      <c r="A119" s="25"/>
      <c r="B119" s="108" t="str">
        <f>IF(OR(ISBLANK(H117),H117=0),"Bitte Energieart auswählen!",IF(H116="Nein","Aliquoter ","") &amp; H117 &amp;"verbrauch in kWh " &amp; par_FZ_Text)</f>
        <v>Bitte Energieart auswählen!</v>
      </c>
      <c r="C119" s="108"/>
      <c r="D119" s="117"/>
      <c r="E119" s="117"/>
      <c r="F119" s="117"/>
      <c r="G119" s="117"/>
      <c r="H119" s="125">
        <f>SUM(I119:N119)</f>
        <v>0</v>
      </c>
      <c r="I119" s="255" t="str">
        <f>IFERROR(IF($H116="Nein",VLOOKUP(CONCATENATE($H115,"_",$H117),'1 - Strom Erdgas Wärme Vgl'!$W:$AA,5,FALSE)/par_VZ_Monate,""),"")</f>
        <v/>
      </c>
      <c r="J119" s="255" t="str">
        <f>IFERROR(IF($H116="Nein",VLOOKUP(CONCATENATE($H115,"_",$H117),'1 - Strom Erdgas Wärme Vgl'!$W:$AA,5,FALSE)/par_VZ_Monate,""),"")</f>
        <v/>
      </c>
      <c r="K119" s="255" t="str">
        <f>IFERROR(IF($H116="Nein",VLOOKUP(CONCATENATE($H115,"_",$H117),'1 - Strom Erdgas Wärme Vgl'!$W:$AA,5,FALSE)/par_VZ_Monate,""),"")</f>
        <v/>
      </c>
      <c r="L119" s="255" t="str">
        <f>IFERROR(IF($H116="Nein",VLOOKUP(CONCATENATE($H115,"_",$H117),'1 - Strom Erdgas Wärme Vgl'!$W:$AA,5,FALSE)/par_VZ_Monate,""),"")</f>
        <v/>
      </c>
      <c r="M119" s="255" t="str">
        <f>IFERROR(IF($H116="Nein",VLOOKUP(CONCATENATE($H115,"_",$H117),'1 - Strom Erdgas Wärme Vgl'!$W:$AA,5,FALSE)/par_VZ_Monate,""),"")</f>
        <v/>
      </c>
      <c r="N119" s="255" t="str">
        <f>IFERROR(IF($H116="Nein",VLOOKUP(CONCATENATE($H115,"_",$H117),'1 - Strom Erdgas Wärme Vgl'!$W:$AA,5,FALSE)/par_VZ_Monate,""),"")</f>
        <v/>
      </c>
      <c r="O119" s="33" t="s">
        <v>4</v>
      </c>
      <c r="P119" s="134" t="str">
        <f>IFERROR(IF(H116="Nein","Vorbefüllte Verbrauchswerte wurden aliquot (d.h. 1/" &amp; par_VZ_Monate &amp; ") aus dem Jahr " &amp; par_Jahr1 &amp; " übernommen.","Bitte ergänzen Sie die monatlichen Verbrauchswerte gem. Lastprofilzähler"),"")</f>
        <v>Bitte ergänzen Sie die monatlichen Verbrauchswerte gem. Lastprofilzähler</v>
      </c>
      <c r="Q119" s="52"/>
      <c r="R119" s="52"/>
      <c r="S119" s="52"/>
      <c r="T119" s="52"/>
      <c r="U119" s="52"/>
      <c r="V119" s="52"/>
      <c r="W119" s="86"/>
      <c r="X119" s="86"/>
      <c r="Y119" s="86"/>
      <c r="Z119" s="86"/>
      <c r="AA119" s="86"/>
    </row>
    <row r="120" spans="1:27" x14ac:dyDescent="0.3">
      <c r="B120" s="108" t="str">
        <f>IF(H117="Wärme/Kälte","Energiemix: Anteil in % der aus Strom, Erdgas, Heizöl, Holzpellets und Hackschnitzel erzeugten Wärme/Kälte","")</f>
        <v/>
      </c>
      <c r="C120" s="31"/>
      <c r="D120" s="65"/>
      <c r="E120" s="65"/>
      <c r="F120" s="85">
        <f>IFERROR(SUMPRODUCT(I120:N120,I119:N119),"")</f>
        <v>0</v>
      </c>
      <c r="G120" s="85"/>
      <c r="H120" s="31"/>
      <c r="I120" s="264"/>
      <c r="J120" s="265"/>
      <c r="K120" s="264"/>
      <c r="L120" s="265"/>
      <c r="M120" s="264"/>
      <c r="N120" s="265"/>
      <c r="O120" s="33" t="str">
        <f>IF(H117="Wärme/Kälte","i","")</f>
        <v/>
      </c>
      <c r="P120" s="108" t="str">
        <f>IF(H117="Wärme/Kälte","Bitte geben Sie den Anteil in % (von 0 bis 100, ohne %-zeichen) der direkt aus Strom, Erdgas, Heizöl, Holzpellets und Hackschnitzel erzeugten Wärme/Kälte.","")</f>
        <v/>
      </c>
      <c r="Q120" s="31"/>
      <c r="R120" s="31"/>
      <c r="S120" s="31"/>
      <c r="T120" s="31"/>
      <c r="U120" s="31"/>
      <c r="V120" s="31"/>
      <c r="W120" s="86"/>
      <c r="X120" s="86"/>
      <c r="Y120" s="79"/>
      <c r="Z120" s="79"/>
      <c r="AA120" s="79"/>
    </row>
    <row r="121" spans="1:27" x14ac:dyDescent="0.3">
      <c r="B121" s="31"/>
      <c r="C121" s="31"/>
      <c r="D121" s="65"/>
      <c r="E121" s="65"/>
      <c r="F121" s="65"/>
      <c r="G121" s="65"/>
      <c r="H121" s="31"/>
      <c r="I121" s="31"/>
      <c r="J121" s="31"/>
      <c r="K121" s="31"/>
      <c r="L121" s="31"/>
      <c r="M121" s="31"/>
      <c r="N121" s="31"/>
      <c r="O121" s="33"/>
      <c r="P121" s="32"/>
      <c r="Q121" s="31"/>
      <c r="R121" s="31"/>
      <c r="S121" s="31"/>
      <c r="T121" s="31"/>
      <c r="U121" s="31"/>
      <c r="V121" s="31"/>
      <c r="W121" s="86"/>
      <c r="X121" s="86"/>
      <c r="Y121" s="79"/>
      <c r="Z121" s="79"/>
      <c r="AA121" s="79"/>
    </row>
    <row r="122" spans="1:27" s="34" customFormat="1" ht="19.5" thickBot="1" x14ac:dyDescent="0.45">
      <c r="A122" s="25"/>
      <c r="B122" s="36" t="s">
        <v>6</v>
      </c>
      <c r="C122" s="108"/>
      <c r="D122" s="117"/>
      <c r="E122" s="117"/>
      <c r="F122" s="117"/>
      <c r="G122" s="117"/>
      <c r="H122" s="108"/>
      <c r="I122" s="135">
        <f>par_FZ_SEW_Start</f>
        <v>44927</v>
      </c>
      <c r="J122" s="135">
        <f>EOMONTH(I122,0)+1</f>
        <v>44958</v>
      </c>
      <c r="K122" s="135">
        <f t="shared" ref="K122" si="37">EOMONTH(J122,0)+1</f>
        <v>44986</v>
      </c>
      <c r="L122" s="135">
        <f t="shared" ref="L122" si="38">EOMONTH(K122,0)+1</f>
        <v>45017</v>
      </c>
      <c r="M122" s="135">
        <f t="shared" ref="M122" si="39">EOMONTH(L122,0)+1</f>
        <v>45047</v>
      </c>
      <c r="N122" s="135">
        <f t="shared" ref="N122" si="40">EOMONTH(M122,0)+1</f>
        <v>45078</v>
      </c>
      <c r="O122" s="32"/>
      <c r="P122" s="46"/>
      <c r="Q122" s="46"/>
      <c r="R122" s="46"/>
      <c r="S122" s="46"/>
      <c r="T122" s="46"/>
      <c r="U122" s="46"/>
      <c r="V122" s="32"/>
      <c r="W122" s="86"/>
      <c r="X122" s="86"/>
      <c r="Y122" s="86"/>
      <c r="Z122" s="86"/>
      <c r="AA122" s="86"/>
    </row>
    <row r="123" spans="1:27" s="34" customFormat="1" ht="17.25" thickBot="1" x14ac:dyDescent="0.35">
      <c r="A123" s="25"/>
      <c r="B123" s="108" t="s">
        <v>203</v>
      </c>
      <c r="C123" s="108"/>
      <c r="D123" s="117"/>
      <c r="E123" s="117"/>
      <c r="F123" s="117"/>
      <c r="G123" s="117"/>
      <c r="H123" s="262"/>
      <c r="I123" s="47"/>
      <c r="J123" s="48"/>
      <c r="K123" s="48"/>
      <c r="L123" s="48"/>
      <c r="M123" s="48"/>
      <c r="N123" s="48"/>
      <c r="O123" s="33" t="s">
        <v>4</v>
      </c>
      <c r="P123" s="108" t="s">
        <v>21</v>
      </c>
      <c r="Q123" s="46"/>
      <c r="R123" s="46"/>
      <c r="S123" s="46"/>
      <c r="T123" s="46"/>
      <c r="U123" s="46"/>
      <c r="V123" s="32"/>
      <c r="W123" s="86"/>
      <c r="X123" s="86"/>
      <c r="Y123" s="86"/>
      <c r="Z123" s="86"/>
      <c r="AA123" s="86"/>
    </row>
    <row r="124" spans="1:27" s="34" customFormat="1" ht="17.25" thickBot="1" x14ac:dyDescent="0.35">
      <c r="A124" s="25"/>
      <c r="B124" s="108" t="s">
        <v>8</v>
      </c>
      <c r="C124" s="108"/>
      <c r="D124" s="117"/>
      <c r="E124" s="117"/>
      <c r="F124" s="117"/>
      <c r="G124" s="117"/>
      <c r="H124" s="136">
        <f>IFERROR(VLOOKUP(H123,'1 - Strom Erdgas Wärme Vgl'!H:AA,17,FALSE),"")</f>
        <v>0</v>
      </c>
      <c r="I124" s="47"/>
      <c r="J124" s="48"/>
      <c r="K124" s="48"/>
      <c r="L124" s="48"/>
      <c r="M124" s="48"/>
      <c r="N124" s="48"/>
      <c r="O124" s="33"/>
      <c r="P124" s="108"/>
      <c r="Q124" s="46"/>
      <c r="R124" s="46"/>
      <c r="S124" s="46"/>
      <c r="T124" s="46"/>
      <c r="U124" s="46"/>
      <c r="V124" s="32"/>
      <c r="W124" s="86"/>
      <c r="X124" s="86"/>
      <c r="Y124" s="86"/>
      <c r="Z124" s="86"/>
      <c r="AA124" s="86"/>
    </row>
    <row r="125" spans="1:27" s="34" customFormat="1" ht="17.25" thickBot="1" x14ac:dyDescent="0.35">
      <c r="A125" s="25"/>
      <c r="B125" s="108" t="s">
        <v>10</v>
      </c>
      <c r="C125" s="108"/>
      <c r="D125" s="117"/>
      <c r="E125" s="117"/>
      <c r="F125" s="117"/>
      <c r="G125" s="117"/>
      <c r="H125" s="254">
        <f>IFERROR(VLOOKUP(H123,'1 - Strom Erdgas Wärme Vgl'!H:AA,18,FALSE),"")</f>
        <v>0</v>
      </c>
      <c r="I125" s="49"/>
      <c r="J125" s="50"/>
      <c r="K125" s="50"/>
      <c r="L125" s="50"/>
      <c r="M125" s="50"/>
      <c r="N125" s="50"/>
      <c r="O125" s="33" t="s">
        <v>4</v>
      </c>
      <c r="P125" s="108" t="s">
        <v>11</v>
      </c>
      <c r="Q125" s="46"/>
      <c r="R125" s="46"/>
      <c r="S125" s="46"/>
      <c r="T125" s="46"/>
      <c r="U125" s="46"/>
      <c r="V125" s="32"/>
      <c r="W125" s="86"/>
      <c r="X125" s="86"/>
      <c r="Y125" s="86"/>
      <c r="Z125" s="86"/>
      <c r="AA125" s="86"/>
    </row>
    <row r="126" spans="1:27" s="34" customFormat="1" ht="17.25" thickBot="1" x14ac:dyDescent="0.35">
      <c r="A126" s="25"/>
      <c r="B126" s="108" t="str">
        <f>IF(H125="Erdgas","Arbeitspreis pro kWh Erdgas in EUR",IF(H125="Strom","Arbeitspreis pro kWh Strom in EUR",IF(H125="Wärme/Kälte","Arbeitspreis pro kWh Wärme-/Kälte in EUR","Bitte Energieart auswählen!")))</f>
        <v>Bitte Energieart auswählen!</v>
      </c>
      <c r="C126" s="108"/>
      <c r="D126" s="117"/>
      <c r="E126" s="117"/>
      <c r="F126" s="117"/>
      <c r="G126" s="137">
        <f>IFERROR(SUMPRODUCT(I126:N126,I127:N127),"")</f>
        <v>0</v>
      </c>
      <c r="H126" s="108"/>
      <c r="I126" s="263"/>
      <c r="J126" s="263"/>
      <c r="K126" s="263"/>
      <c r="L126" s="263"/>
      <c r="M126" s="263"/>
      <c r="N126" s="263"/>
      <c r="O126" s="33" t="s">
        <v>4</v>
      </c>
      <c r="P126" s="108" t="str">
        <f>IF(OR(ISBLANK(H125),H125=0),"Bitte Energieart auswählen!",H125 &amp; "kosten exkl. Steuern, Abgaben, Netzentgelte, etc.")</f>
        <v>Bitte Energieart auswählen!</v>
      </c>
      <c r="Q126" s="32"/>
      <c r="R126" s="32"/>
      <c r="S126" s="51"/>
      <c r="T126" s="38"/>
      <c r="U126" s="39"/>
      <c r="V126" s="32"/>
      <c r="W126" s="86"/>
      <c r="X126" s="86"/>
      <c r="Y126" s="86"/>
      <c r="Z126" s="86"/>
      <c r="AA126" s="86"/>
    </row>
    <row r="127" spans="1:27" s="34" customFormat="1" ht="17.25" thickBot="1" x14ac:dyDescent="0.35">
      <c r="A127" s="25"/>
      <c r="B127" s="108" t="str">
        <f>IF(OR(ISBLANK(H125),H125=0),"Bitte Energieart auswählen!",IF(H124="Nein","Aliquoter ","") &amp; H125 &amp;"verbrauch in kWh " &amp; par_FZ_Text)</f>
        <v>Bitte Energieart auswählen!</v>
      </c>
      <c r="C127" s="108"/>
      <c r="D127" s="117"/>
      <c r="E127" s="117"/>
      <c r="F127" s="117"/>
      <c r="G127" s="117"/>
      <c r="H127" s="125">
        <f>SUM(I127:N127)</f>
        <v>0</v>
      </c>
      <c r="I127" s="255" t="str">
        <f>IFERROR(IF($H124="Nein",VLOOKUP(CONCATENATE($H123,"_",$H125),'1 - Strom Erdgas Wärme Vgl'!$W:$AA,5,FALSE)/par_VZ_Monate,""),"")</f>
        <v/>
      </c>
      <c r="J127" s="255" t="str">
        <f>IFERROR(IF($H124="Nein",VLOOKUP(CONCATENATE($H123,"_",$H125),'1 - Strom Erdgas Wärme Vgl'!$W:$AA,5,FALSE)/par_VZ_Monate,""),"")</f>
        <v/>
      </c>
      <c r="K127" s="255" t="str">
        <f>IFERROR(IF($H124="Nein",VLOOKUP(CONCATENATE($H123,"_",$H125),'1 - Strom Erdgas Wärme Vgl'!$W:$AA,5,FALSE)/par_VZ_Monate,""),"")</f>
        <v/>
      </c>
      <c r="L127" s="255" t="str">
        <f>IFERROR(IF($H124="Nein",VLOOKUP(CONCATENATE($H123,"_",$H125),'1 - Strom Erdgas Wärme Vgl'!$W:$AA,5,FALSE)/par_VZ_Monate,""),"")</f>
        <v/>
      </c>
      <c r="M127" s="255" t="str">
        <f>IFERROR(IF($H124="Nein",VLOOKUP(CONCATENATE($H123,"_",$H125),'1 - Strom Erdgas Wärme Vgl'!$W:$AA,5,FALSE)/par_VZ_Monate,""),"")</f>
        <v/>
      </c>
      <c r="N127" s="255" t="str">
        <f>IFERROR(IF($H124="Nein",VLOOKUP(CONCATENATE($H123,"_",$H125),'1 - Strom Erdgas Wärme Vgl'!$W:$AA,5,FALSE)/par_VZ_Monate,""),"")</f>
        <v/>
      </c>
      <c r="O127" s="33" t="s">
        <v>4</v>
      </c>
      <c r="P127" s="134" t="str">
        <f>IFERROR(IF(H124="Nein","Vorbefüllte Verbrauchswerte wurden aliquot (d.h. 1/" &amp; par_VZ_Monate &amp; ") aus dem Jahr " &amp; par_Jahr1 &amp; " übernommen.","Bitte ergänzen Sie die monatlichen Verbrauchswerte gem. Lastprofilzähler"),"")</f>
        <v>Bitte ergänzen Sie die monatlichen Verbrauchswerte gem. Lastprofilzähler</v>
      </c>
      <c r="Q127" s="52"/>
      <c r="R127" s="52"/>
      <c r="S127" s="52"/>
      <c r="T127" s="52"/>
      <c r="U127" s="52"/>
      <c r="V127" s="52"/>
      <c r="W127" s="86"/>
      <c r="X127" s="86"/>
      <c r="Y127" s="86"/>
      <c r="Z127" s="86"/>
      <c r="AA127" s="86"/>
    </row>
    <row r="128" spans="1:27" x14ac:dyDescent="0.3">
      <c r="B128" s="108" t="str">
        <f>IF(H125="Wärme/Kälte","Energiemix: Anteil in % der aus Strom, Erdgas, Heizöl, Holzpellets und Hackschnitzel erzeugten Wärme/Kälte","")</f>
        <v/>
      </c>
      <c r="C128" s="31"/>
      <c r="D128" s="65"/>
      <c r="E128" s="65"/>
      <c r="F128" s="85">
        <f>IFERROR(SUMPRODUCT(I128:N128,I127:N127),"")</f>
        <v>0</v>
      </c>
      <c r="G128" s="85"/>
      <c r="H128" s="31"/>
      <c r="I128" s="264"/>
      <c r="J128" s="265"/>
      <c r="K128" s="264"/>
      <c r="L128" s="265"/>
      <c r="M128" s="264"/>
      <c r="N128" s="265"/>
      <c r="O128" s="33" t="str">
        <f>IF(H125="Wärme/Kälte","i","")</f>
        <v/>
      </c>
      <c r="P128" s="108" t="str">
        <f>IF(H125="Wärme/Kälte","Bitte geben Sie den Anteil in % (von 0 bis 100, ohne %-zeichen) der direkt aus Strom, Erdgas, Heizöl, Holzpellets und Hackschnitzel erzeugten Wärme/Kälte.","")</f>
        <v/>
      </c>
      <c r="Q128" s="31"/>
      <c r="R128" s="31"/>
      <c r="S128" s="31"/>
      <c r="T128" s="31"/>
      <c r="U128" s="31"/>
      <c r="V128" s="31"/>
      <c r="W128" s="86"/>
      <c r="X128" s="86"/>
      <c r="Y128" s="79"/>
      <c r="Z128" s="79"/>
      <c r="AA128" s="79"/>
    </row>
    <row r="129" spans="1:27" ht="13.9" customHeight="1" x14ac:dyDescent="0.3">
      <c r="B129" s="31"/>
      <c r="C129" s="31"/>
      <c r="D129" s="65"/>
      <c r="E129" s="65"/>
      <c r="F129" s="65"/>
      <c r="G129" s="65"/>
      <c r="H129" s="31"/>
      <c r="I129" s="31"/>
      <c r="J129" s="31"/>
      <c r="K129" s="31"/>
      <c r="L129" s="31"/>
      <c r="M129" s="31"/>
      <c r="N129" s="31"/>
      <c r="O129" s="33"/>
      <c r="P129" s="32"/>
      <c r="Q129" s="31"/>
      <c r="R129" s="31"/>
      <c r="S129" s="31"/>
      <c r="T129" s="31"/>
      <c r="U129" s="31"/>
      <c r="V129" s="31"/>
      <c r="W129" s="86"/>
      <c r="X129" s="86"/>
      <c r="Y129" s="79"/>
      <c r="Z129" s="79"/>
      <c r="AA129" s="79"/>
    </row>
    <row r="130" spans="1:27" s="34" customFormat="1" ht="19.5" thickBot="1" x14ac:dyDescent="0.45">
      <c r="A130" s="25"/>
      <c r="B130" s="36" t="s">
        <v>6</v>
      </c>
      <c r="C130" s="108"/>
      <c r="D130" s="117"/>
      <c r="E130" s="117"/>
      <c r="F130" s="117"/>
      <c r="G130" s="117"/>
      <c r="H130" s="108"/>
      <c r="I130" s="135">
        <f>par_FZ_SEW_Start</f>
        <v>44927</v>
      </c>
      <c r="J130" s="135">
        <f>EOMONTH(I130,0)+1</f>
        <v>44958</v>
      </c>
      <c r="K130" s="135">
        <f t="shared" ref="K130" si="41">EOMONTH(J130,0)+1</f>
        <v>44986</v>
      </c>
      <c r="L130" s="135">
        <f t="shared" ref="L130" si="42">EOMONTH(K130,0)+1</f>
        <v>45017</v>
      </c>
      <c r="M130" s="135">
        <f t="shared" ref="M130" si="43">EOMONTH(L130,0)+1</f>
        <v>45047</v>
      </c>
      <c r="N130" s="135">
        <f t="shared" ref="N130" si="44">EOMONTH(M130,0)+1</f>
        <v>45078</v>
      </c>
      <c r="O130" s="32"/>
      <c r="P130" s="46"/>
      <c r="Q130" s="46"/>
      <c r="R130" s="46"/>
      <c r="S130" s="46"/>
      <c r="T130" s="46"/>
      <c r="U130" s="46"/>
      <c r="V130" s="32"/>
      <c r="W130" s="86"/>
      <c r="X130" s="86"/>
      <c r="Y130" s="86"/>
      <c r="Z130" s="86"/>
      <c r="AA130" s="86"/>
    </row>
    <row r="131" spans="1:27" s="34" customFormat="1" ht="17.25" thickBot="1" x14ac:dyDescent="0.35">
      <c r="A131" s="25"/>
      <c r="B131" s="108" t="s">
        <v>203</v>
      </c>
      <c r="C131" s="108"/>
      <c r="D131" s="117"/>
      <c r="E131" s="117"/>
      <c r="F131" s="117"/>
      <c r="G131" s="117"/>
      <c r="H131" s="262"/>
      <c r="I131" s="47"/>
      <c r="J131" s="48"/>
      <c r="K131" s="48"/>
      <c r="L131" s="48"/>
      <c r="M131" s="48"/>
      <c r="N131" s="48"/>
      <c r="O131" s="33" t="s">
        <v>4</v>
      </c>
      <c r="P131" s="108" t="s">
        <v>21</v>
      </c>
      <c r="Q131" s="46"/>
      <c r="R131" s="46"/>
      <c r="S131" s="46"/>
      <c r="T131" s="46"/>
      <c r="U131" s="46"/>
      <c r="V131" s="32"/>
      <c r="W131" s="86"/>
      <c r="X131" s="86"/>
      <c r="Y131" s="86"/>
      <c r="Z131" s="86"/>
      <c r="AA131" s="86"/>
    </row>
    <row r="132" spans="1:27" s="34" customFormat="1" ht="17.25" thickBot="1" x14ac:dyDescent="0.35">
      <c r="A132" s="25"/>
      <c r="B132" s="108" t="s">
        <v>8</v>
      </c>
      <c r="C132" s="108"/>
      <c r="D132" s="117"/>
      <c r="E132" s="117"/>
      <c r="F132" s="117"/>
      <c r="G132" s="117"/>
      <c r="H132" s="136">
        <f>IFERROR(VLOOKUP(H131,'1 - Strom Erdgas Wärme Vgl'!H:AA,17,FALSE),"")</f>
        <v>0</v>
      </c>
      <c r="I132" s="47"/>
      <c r="J132" s="48"/>
      <c r="K132" s="48"/>
      <c r="L132" s="48"/>
      <c r="M132" s="48"/>
      <c r="N132" s="48"/>
      <c r="O132" s="33"/>
      <c r="P132" s="108"/>
      <c r="Q132" s="46"/>
      <c r="R132" s="46"/>
      <c r="S132" s="46"/>
      <c r="T132" s="46"/>
      <c r="U132" s="46"/>
      <c r="V132" s="32"/>
      <c r="W132" s="86"/>
      <c r="X132" s="86"/>
      <c r="Y132" s="86"/>
      <c r="Z132" s="86"/>
      <c r="AA132" s="86"/>
    </row>
    <row r="133" spans="1:27" s="34" customFormat="1" ht="17.25" thickBot="1" x14ac:dyDescent="0.35">
      <c r="A133" s="25"/>
      <c r="B133" s="108" t="s">
        <v>10</v>
      </c>
      <c r="C133" s="108"/>
      <c r="D133" s="117"/>
      <c r="E133" s="117"/>
      <c r="F133" s="117"/>
      <c r="G133" s="117"/>
      <c r="H133" s="254">
        <f>IFERROR(VLOOKUP(H131,'1 - Strom Erdgas Wärme Vgl'!H:AA,18,FALSE),"")</f>
        <v>0</v>
      </c>
      <c r="I133" s="49"/>
      <c r="J133" s="50"/>
      <c r="K133" s="50"/>
      <c r="L133" s="50"/>
      <c r="M133" s="50"/>
      <c r="N133" s="50"/>
      <c r="O133" s="33" t="s">
        <v>4</v>
      </c>
      <c r="P133" s="108" t="s">
        <v>11</v>
      </c>
      <c r="Q133" s="46"/>
      <c r="R133" s="46"/>
      <c r="S133" s="46"/>
      <c r="T133" s="46"/>
      <c r="U133" s="46"/>
      <c r="V133" s="32"/>
      <c r="W133" s="86"/>
      <c r="X133" s="86"/>
      <c r="Y133" s="86"/>
      <c r="Z133" s="86"/>
      <c r="AA133" s="86"/>
    </row>
    <row r="134" spans="1:27" s="34" customFormat="1" ht="17.25" thickBot="1" x14ac:dyDescent="0.35">
      <c r="A134" s="25"/>
      <c r="B134" s="108" t="str">
        <f>IF(H133="Erdgas","Arbeitspreis pro kWh Erdgas in EUR",IF(H133="Strom","Arbeitspreis pro kWh Strom in EUR",IF(H133="Wärme/Kälte","Arbeitspreis pro kWh Wärme-/Kälte in EUR","Bitte Energieart auswählen!")))</f>
        <v>Bitte Energieart auswählen!</v>
      </c>
      <c r="C134" s="108"/>
      <c r="D134" s="117"/>
      <c r="E134" s="117"/>
      <c r="F134" s="117"/>
      <c r="G134" s="137">
        <f>IFERROR(SUMPRODUCT(I134:N134,I135:N135),"")</f>
        <v>0</v>
      </c>
      <c r="H134" s="108"/>
      <c r="I134" s="263"/>
      <c r="J134" s="263"/>
      <c r="K134" s="263"/>
      <c r="L134" s="263"/>
      <c r="M134" s="263"/>
      <c r="N134" s="263"/>
      <c r="O134" s="33" t="s">
        <v>4</v>
      </c>
      <c r="P134" s="108" t="str">
        <f>IF(OR(ISBLANK(H133),H133=0),"Bitte Energieart auswählen!",H133 &amp; "kosten exkl. Steuern, Abgaben, Netzentgelte, etc.")</f>
        <v>Bitte Energieart auswählen!</v>
      </c>
      <c r="Q134" s="32"/>
      <c r="R134" s="32"/>
      <c r="S134" s="51"/>
      <c r="T134" s="38"/>
      <c r="U134" s="39"/>
      <c r="V134" s="32"/>
      <c r="W134" s="86"/>
      <c r="X134" s="86"/>
      <c r="Y134" s="86"/>
      <c r="Z134" s="86"/>
      <c r="AA134" s="86"/>
    </row>
    <row r="135" spans="1:27" s="34" customFormat="1" ht="17.25" thickBot="1" x14ac:dyDescent="0.35">
      <c r="A135" s="25"/>
      <c r="B135" s="108" t="str">
        <f>IF(OR(ISBLANK(H133),H133=0),"Bitte Energieart auswählen!",IF(H132="Nein","Aliquoter ","") &amp; H133 &amp;"verbrauch in kWh " &amp; par_FZ_Text)</f>
        <v>Bitte Energieart auswählen!</v>
      </c>
      <c r="C135" s="108"/>
      <c r="D135" s="117"/>
      <c r="E135" s="117"/>
      <c r="F135" s="117"/>
      <c r="G135" s="117"/>
      <c r="H135" s="125">
        <f>SUM(I135:N135)</f>
        <v>0</v>
      </c>
      <c r="I135" s="255" t="str">
        <f>IFERROR(IF($H132="Nein",VLOOKUP(CONCATENATE($H131,"_",$H133),'1 - Strom Erdgas Wärme Vgl'!$W:$AA,5,FALSE)/par_VZ_Monate,""),"")</f>
        <v/>
      </c>
      <c r="J135" s="255" t="str">
        <f>IFERROR(IF($H132="Nein",VLOOKUP(CONCATENATE($H131,"_",$H133),'1 - Strom Erdgas Wärme Vgl'!$W:$AA,5,FALSE)/par_VZ_Monate,""),"")</f>
        <v/>
      </c>
      <c r="K135" s="255" t="str">
        <f>IFERROR(IF($H132="Nein",VLOOKUP(CONCATENATE($H131,"_",$H133),'1 - Strom Erdgas Wärme Vgl'!$W:$AA,5,FALSE)/par_VZ_Monate,""),"")</f>
        <v/>
      </c>
      <c r="L135" s="255" t="str">
        <f>IFERROR(IF($H132="Nein",VLOOKUP(CONCATENATE($H131,"_",$H133),'1 - Strom Erdgas Wärme Vgl'!$W:$AA,5,FALSE)/par_VZ_Monate,""),"")</f>
        <v/>
      </c>
      <c r="M135" s="255" t="str">
        <f>IFERROR(IF($H132="Nein",VLOOKUP(CONCATENATE($H131,"_",$H133),'1 - Strom Erdgas Wärme Vgl'!$W:$AA,5,FALSE)/par_VZ_Monate,""),"")</f>
        <v/>
      </c>
      <c r="N135" s="255" t="str">
        <f>IFERROR(IF($H132="Nein",VLOOKUP(CONCATENATE($H131,"_",$H133),'1 - Strom Erdgas Wärme Vgl'!$W:$AA,5,FALSE)/par_VZ_Monate,""),"")</f>
        <v/>
      </c>
      <c r="O135" s="33" t="s">
        <v>4</v>
      </c>
      <c r="P135" s="134" t="str">
        <f>IFERROR(IF(H132="Nein","Vorbefüllte Verbrauchswerte wurden aliquot (d.h. 1/" &amp; par_VZ_Monate &amp; ") aus dem Jahr " &amp; par_Jahr1 &amp; " übernommen.","Bitte ergänzen Sie die monatlichen Verbrauchswerte gem. Lastprofilzähler"),"")</f>
        <v>Bitte ergänzen Sie die monatlichen Verbrauchswerte gem. Lastprofilzähler</v>
      </c>
      <c r="Q135" s="52"/>
      <c r="R135" s="52"/>
      <c r="S135" s="52"/>
      <c r="T135" s="52"/>
      <c r="U135" s="52"/>
      <c r="V135" s="52"/>
      <c r="W135" s="86"/>
      <c r="X135" s="86"/>
      <c r="Y135" s="86"/>
      <c r="Z135" s="86"/>
      <c r="AA135" s="86"/>
    </row>
    <row r="136" spans="1:27" x14ac:dyDescent="0.3">
      <c r="B136" s="108" t="str">
        <f>IF(H133="Wärme/Kälte","Energiemix: Anteil in % der aus Strom, Erdgas, Heizöl, Holzpellets und Hackschnitzel erzeugten Wärme/Kälte","")</f>
        <v/>
      </c>
      <c r="C136" s="31"/>
      <c r="D136" s="65"/>
      <c r="E136" s="65"/>
      <c r="F136" s="85">
        <f>IFERROR(SUMPRODUCT(I136:N136,I135:N135),"")</f>
        <v>0</v>
      </c>
      <c r="G136" s="85"/>
      <c r="H136" s="31"/>
      <c r="I136" s="264"/>
      <c r="J136" s="265"/>
      <c r="K136" s="264"/>
      <c r="L136" s="265"/>
      <c r="M136" s="264"/>
      <c r="N136" s="265"/>
      <c r="O136" s="33" t="str">
        <f>IF(H133="Wärme/Kälte","i","")</f>
        <v/>
      </c>
      <c r="P136" s="108" t="str">
        <f>IF(H133="Wärme/Kälte","Bitte geben Sie den Anteil in % (von 0 bis 100, ohne %-zeichen) der direkt aus Strom, Erdgas, Heizöl, Holzpellets und Hackschnitzel erzeugten Wärme/Kälte.","")</f>
        <v/>
      </c>
      <c r="Q136" s="31"/>
      <c r="R136" s="31"/>
      <c r="S136" s="31"/>
      <c r="T136" s="31"/>
      <c r="U136" s="31"/>
      <c r="V136" s="31"/>
      <c r="W136" s="86"/>
      <c r="X136" s="86"/>
      <c r="Y136" s="79"/>
      <c r="Z136" s="79"/>
      <c r="AA136" s="79"/>
    </row>
    <row r="137" spans="1:27" x14ac:dyDescent="0.3">
      <c r="B137" s="31"/>
      <c r="C137" s="31"/>
      <c r="D137" s="65"/>
      <c r="E137" s="65"/>
      <c r="F137" s="65"/>
      <c r="G137" s="65"/>
      <c r="H137" s="31"/>
      <c r="I137" s="31"/>
      <c r="J137" s="31"/>
      <c r="K137" s="31"/>
      <c r="L137" s="31"/>
      <c r="M137" s="31"/>
      <c r="N137" s="31"/>
      <c r="O137" s="33"/>
      <c r="P137" s="32"/>
      <c r="Q137" s="31"/>
      <c r="R137" s="31"/>
      <c r="S137" s="31"/>
      <c r="T137" s="31"/>
      <c r="U137" s="31"/>
      <c r="V137" s="31"/>
      <c r="W137" s="86"/>
      <c r="X137" s="86"/>
      <c r="Y137" s="79"/>
      <c r="Z137" s="79"/>
      <c r="AA137" s="79"/>
    </row>
  </sheetData>
  <sheetProtection algorithmName="SHA-512" hashValue="PgD/cFhkPNM+uue+dKhSzrB9FTICRsLJsfp43C5EGYYVO6Fvh5/MLs30PGAM/gP24QIOYE2GZOGvJRNGUNwCPA==" saltValue="QgXFZZO7EY/Lr+2Fx/wCKQ==" spinCount="100000" sheet="1" formatCells="0" formatColumns="0" formatRows="0" insertColumns="0" insertRows="0" insertHyperlinks="0" deleteColumns="0" deleteRows="0" sort="0" autoFilter="0" pivotTables="0"/>
  <conditionalFormatting sqref="I48:N48">
    <cfRule type="expression" dxfId="93" priority="214">
      <formula>OR(ISBLANK($H45),$H45="Strom",$H45="Erdgas")</formula>
    </cfRule>
    <cfRule type="expression" dxfId="92" priority="217">
      <formula>$H45="Wärme/Kälte"</formula>
    </cfRule>
  </conditionalFormatting>
  <conditionalFormatting sqref="K49:M49">
    <cfRule type="expression" dxfId="91" priority="219">
      <formula>I46="Wärme/Kälte"</formula>
    </cfRule>
  </conditionalFormatting>
  <conditionalFormatting sqref="N49">
    <cfRule type="expression" dxfId="90" priority="350">
      <formula>K46="Wärme/Kälte"</formula>
    </cfRule>
  </conditionalFormatting>
  <conditionalFormatting sqref="J19:K19">
    <cfRule type="expression" dxfId="89" priority="141">
      <formula>SEARCH("JA",$AA19)</formula>
    </cfRule>
  </conditionalFormatting>
  <conditionalFormatting sqref="J28">
    <cfRule type="expression" dxfId="88" priority="140">
      <formula>SEARCH("JA",$AA28)</formula>
    </cfRule>
  </conditionalFormatting>
  <conditionalFormatting sqref="J38">
    <cfRule type="expression" dxfId="87" priority="139">
      <formula>SEARCH("JA",$AA38)</formula>
    </cfRule>
  </conditionalFormatting>
  <conditionalFormatting sqref="H18:I18">
    <cfRule type="expression" dxfId="86" priority="138">
      <formula>SEARCH("JA",$V$18)</formula>
    </cfRule>
  </conditionalFormatting>
  <conditionalFormatting sqref="H27:I27">
    <cfRule type="expression" dxfId="85" priority="137">
      <formula>SEARCH("JA",$V$27)</formula>
    </cfRule>
  </conditionalFormatting>
  <conditionalFormatting sqref="H37:I37">
    <cfRule type="expression" dxfId="84" priority="136">
      <formula>SEARCH("JA",$V$37)</formula>
    </cfRule>
  </conditionalFormatting>
  <conditionalFormatting sqref="H36:I36 J38">
    <cfRule type="expression" dxfId="83" priority="135">
      <formula>SEARCH("JA",$V$36)</formula>
    </cfRule>
  </conditionalFormatting>
  <conditionalFormatting sqref="H26:I26 J28">
    <cfRule type="expression" dxfId="82" priority="134">
      <formula>SEARCH("JA",$V$26)</formula>
    </cfRule>
  </conditionalFormatting>
  <conditionalFormatting sqref="H17:I17 J19:K19">
    <cfRule type="expression" dxfId="81" priority="133">
      <formula>SEARCH("JA",$V$17)</formula>
    </cfRule>
  </conditionalFormatting>
  <conditionalFormatting sqref="K28">
    <cfRule type="expression" dxfId="80" priority="48">
      <formula>SEARCH("JA",$AA28)</formula>
    </cfRule>
  </conditionalFormatting>
  <conditionalFormatting sqref="K28">
    <cfRule type="expression" dxfId="79" priority="47">
      <formula>SEARCH("JA",$V$17)</formula>
    </cfRule>
  </conditionalFormatting>
  <conditionalFormatting sqref="K38">
    <cfRule type="expression" dxfId="78" priority="46">
      <formula>SEARCH("JA",$AA38)</formula>
    </cfRule>
  </conditionalFormatting>
  <conditionalFormatting sqref="K38">
    <cfRule type="expression" dxfId="77" priority="45">
      <formula>SEARCH("JA",$V$17)</formula>
    </cfRule>
  </conditionalFormatting>
  <conditionalFormatting sqref="I56:N56">
    <cfRule type="expression" dxfId="76" priority="41">
      <formula>OR(ISBLANK($H53),$H53="Strom",$H53="Erdgas")</formula>
    </cfRule>
    <cfRule type="expression" dxfId="75" priority="42">
      <formula>$H53="Wärme/Kälte"</formula>
    </cfRule>
  </conditionalFormatting>
  <conditionalFormatting sqref="K57:M57">
    <cfRule type="expression" dxfId="74" priority="43">
      <formula>I54="Wärme/Kälte"</formula>
    </cfRule>
  </conditionalFormatting>
  <conditionalFormatting sqref="N57">
    <cfRule type="expression" dxfId="73" priority="44">
      <formula>K54="Wärme/Kälte"</formula>
    </cfRule>
  </conditionalFormatting>
  <conditionalFormatting sqref="I64:N64">
    <cfRule type="expression" dxfId="72" priority="37">
      <formula>OR(ISBLANK($H61),$H61="Strom",$H61="Erdgas")</formula>
    </cfRule>
    <cfRule type="expression" dxfId="71" priority="38">
      <formula>$H61="Wärme/Kälte"</formula>
    </cfRule>
  </conditionalFormatting>
  <conditionalFormatting sqref="K65:M65">
    <cfRule type="expression" dxfId="70" priority="39">
      <formula>I62="Wärme/Kälte"</formula>
    </cfRule>
  </conditionalFormatting>
  <conditionalFormatting sqref="N65">
    <cfRule type="expression" dxfId="69" priority="40">
      <formula>K62="Wärme/Kälte"</formula>
    </cfRule>
  </conditionalFormatting>
  <conditionalFormatting sqref="I72:N72">
    <cfRule type="expression" dxfId="68" priority="33">
      <formula>OR(ISBLANK($H69),$H69="Strom",$H69="Erdgas")</formula>
    </cfRule>
    <cfRule type="expression" dxfId="67" priority="34">
      <formula>$H69="Wärme/Kälte"</formula>
    </cfRule>
  </conditionalFormatting>
  <conditionalFormatting sqref="K73:M73">
    <cfRule type="expression" dxfId="66" priority="35">
      <formula>I70="Wärme/Kälte"</formula>
    </cfRule>
  </conditionalFormatting>
  <conditionalFormatting sqref="N73">
    <cfRule type="expression" dxfId="65" priority="36">
      <formula>K70="Wärme/Kälte"</formula>
    </cfRule>
  </conditionalFormatting>
  <conditionalFormatting sqref="I80:N80">
    <cfRule type="expression" dxfId="64" priority="29">
      <formula>OR(ISBLANK($H77),$H77="Strom",$H77="Erdgas")</formula>
    </cfRule>
    <cfRule type="expression" dxfId="63" priority="30">
      <formula>$H77="Wärme/Kälte"</formula>
    </cfRule>
  </conditionalFormatting>
  <conditionalFormatting sqref="K81:M81">
    <cfRule type="expression" dxfId="62" priority="31">
      <formula>I78="Wärme/Kälte"</formula>
    </cfRule>
  </conditionalFormatting>
  <conditionalFormatting sqref="N81">
    <cfRule type="expression" dxfId="61" priority="32">
      <formula>K78="Wärme/Kälte"</formula>
    </cfRule>
  </conditionalFormatting>
  <conditionalFormatting sqref="I88:N88">
    <cfRule type="expression" dxfId="60" priority="25">
      <formula>OR(ISBLANK($H85),$H85="Strom",$H85="Erdgas")</formula>
    </cfRule>
    <cfRule type="expression" dxfId="59" priority="26">
      <formula>$H85="Wärme/Kälte"</formula>
    </cfRule>
  </conditionalFormatting>
  <conditionalFormatting sqref="K89:M89">
    <cfRule type="expression" dxfId="58" priority="27">
      <formula>I86="Wärme/Kälte"</formula>
    </cfRule>
  </conditionalFormatting>
  <conditionalFormatting sqref="N89">
    <cfRule type="expression" dxfId="57" priority="28">
      <formula>K86="Wärme/Kälte"</formula>
    </cfRule>
  </conditionalFormatting>
  <conditionalFormatting sqref="I96:N96">
    <cfRule type="expression" dxfId="56" priority="21">
      <formula>OR(ISBLANK($H93),$H93="Strom",$H93="Erdgas")</formula>
    </cfRule>
    <cfRule type="expression" dxfId="55" priority="22">
      <formula>$H93="Wärme/Kälte"</formula>
    </cfRule>
  </conditionalFormatting>
  <conditionalFormatting sqref="K97:M97">
    <cfRule type="expression" dxfId="54" priority="23">
      <formula>I94="Wärme/Kälte"</formula>
    </cfRule>
  </conditionalFormatting>
  <conditionalFormatting sqref="N97">
    <cfRule type="expression" dxfId="53" priority="24">
      <formula>K94="Wärme/Kälte"</formula>
    </cfRule>
  </conditionalFormatting>
  <conditionalFormatting sqref="I104:N104">
    <cfRule type="expression" dxfId="52" priority="17">
      <formula>OR(ISBLANK($H101),$H101="Strom",$H101="Erdgas")</formula>
    </cfRule>
    <cfRule type="expression" dxfId="51" priority="18">
      <formula>$H101="Wärme/Kälte"</formula>
    </cfRule>
  </conditionalFormatting>
  <conditionalFormatting sqref="K105:M105">
    <cfRule type="expression" dxfId="50" priority="19">
      <formula>I102="Wärme/Kälte"</formula>
    </cfRule>
  </conditionalFormatting>
  <conditionalFormatting sqref="N105">
    <cfRule type="expression" dxfId="49" priority="20">
      <formula>K102="Wärme/Kälte"</formula>
    </cfRule>
  </conditionalFormatting>
  <conditionalFormatting sqref="I112:N112">
    <cfRule type="expression" dxfId="48" priority="13">
      <formula>OR(ISBLANK($H109),$H109="Strom",$H109="Erdgas")</formula>
    </cfRule>
    <cfRule type="expression" dxfId="47" priority="14">
      <formula>$H109="Wärme/Kälte"</formula>
    </cfRule>
  </conditionalFormatting>
  <conditionalFormatting sqref="K113:M113">
    <cfRule type="expression" dxfId="46" priority="15">
      <formula>I110="Wärme/Kälte"</formula>
    </cfRule>
  </conditionalFormatting>
  <conditionalFormatting sqref="N113">
    <cfRule type="expression" dxfId="45" priority="16">
      <formula>K110="Wärme/Kälte"</formula>
    </cfRule>
  </conditionalFormatting>
  <conditionalFormatting sqref="I120:N120">
    <cfRule type="expression" dxfId="44" priority="9">
      <formula>OR(ISBLANK($H117),$H117="Strom",$H117="Erdgas")</formula>
    </cfRule>
    <cfRule type="expression" dxfId="43" priority="10">
      <formula>$H117="Wärme/Kälte"</formula>
    </cfRule>
  </conditionalFormatting>
  <conditionalFormatting sqref="K121:M121">
    <cfRule type="expression" dxfId="42" priority="11">
      <formula>I118="Wärme/Kälte"</formula>
    </cfRule>
  </conditionalFormatting>
  <conditionalFormatting sqref="N121">
    <cfRule type="expression" dxfId="41" priority="12">
      <formula>K118="Wärme/Kälte"</formula>
    </cfRule>
  </conditionalFormatting>
  <conditionalFormatting sqref="I128:N128">
    <cfRule type="expression" dxfId="40" priority="5">
      <formula>OR(ISBLANK($H125),$H125="Strom",$H125="Erdgas")</formula>
    </cfRule>
    <cfRule type="expression" dxfId="39" priority="6">
      <formula>$H125="Wärme/Kälte"</formula>
    </cfRule>
  </conditionalFormatting>
  <conditionalFormatting sqref="K129:M129">
    <cfRule type="expression" dxfId="38" priority="7">
      <formula>I126="Wärme/Kälte"</formula>
    </cfRule>
  </conditionalFormatting>
  <conditionalFormatting sqref="N129">
    <cfRule type="expression" dxfId="37" priority="8">
      <formula>K126="Wärme/Kälte"</formula>
    </cfRule>
  </conditionalFormatting>
  <conditionalFormatting sqref="I136:N136">
    <cfRule type="expression" dxfId="36" priority="1">
      <formula>OR(ISBLANK($H133),$H133="Strom",$H133="Erdgas")</formula>
    </cfRule>
    <cfRule type="expression" dxfId="35" priority="2">
      <formula>$H133="Wärme/Kälte"</formula>
    </cfRule>
  </conditionalFormatting>
  <conditionalFormatting sqref="K137:M137">
    <cfRule type="expression" dxfId="34" priority="3">
      <formula>I134="Wärme/Kälte"</formula>
    </cfRule>
  </conditionalFormatting>
  <conditionalFormatting sqref="N137">
    <cfRule type="expression" dxfId="33" priority="4">
      <formula>K134="Wärme/Kälte"</formula>
    </cfRule>
  </conditionalFormatting>
  <dataValidations count="5">
    <dataValidation type="textLength" errorStyle="information" operator="equal" allowBlank="1" showErrorMessage="1" errorTitle="Achtung" error="Bitte geben Sie nur die letzten vier Stellen Ihrer Zählpunktnummer an." sqref="T8:U9" xr:uid="{00000000-0002-0000-0200-000000000000}">
      <formula1>4</formula1>
    </dataValidation>
    <dataValidation type="list" allowBlank="1" showInputMessage="1" showErrorMessage="1" errorTitle="Achtung" error="Bitte hier nur &quot;Ja&quot; oder &quot;Nein&quot; auswählen.&quot;" sqref="H92 H76 H84 H100 H108 H116 H44 H124 H52 H60 H68 H132" xr:uid="{00000000-0002-0000-0200-000001000000}">
      <formula1>Lastprofilzähler</formula1>
    </dataValidation>
    <dataValidation type="whole" errorStyle="information" allowBlank="1" showInputMessage="1" showErrorMessage="1" errorTitle="Achtung" error="Bitte geben Sie nur die letzten vier Stellen Ihrer Zählpunktnummer an." sqref="H91 H75 H83 H99 H43 H107 H115 H123 H51 H59 H67 H131" xr:uid="{00000000-0002-0000-0200-000002000000}">
      <formula1>0</formula1>
      <formula2>9999</formula2>
    </dataValidation>
    <dataValidation type="list" allowBlank="1" showInputMessage="1" showErrorMessage="1" sqref="H93 H77 H85 H101 H109 H45 H117 H125 H53 H61 H69 H133" xr:uid="{00000000-0002-0000-0200-000003000000}">
      <formula1>Energieart</formula1>
    </dataValidation>
    <dataValidation type="decimal" allowBlank="1" showInputMessage="1" showErrorMessage="1" errorTitle="Prozentangabe" error="Anteil muss zwischen 0,00 und 100,00 liegen." sqref="I112:N112 I48:N48 I120:N120 I128:N128 I56:N56 I64:N64 I72:N72 I80:N80 I88:N88 I96:N96 I104:N104 I136:N136" xr:uid="{52010265-0797-4431-81EF-32AD321D649C}">
      <formula1>0</formula1>
      <formula2>100</formula2>
    </dataValidation>
  </dataValidations>
  <pageMargins left="0.7" right="0.7" top="0.78740157499999996" bottom="0.78740157499999996" header="0.3" footer="0.3"/>
  <pageSetup paperSize="9" scale="32" orientation="portrait" r:id="rId1"/>
  <rowBreaks count="2" manualBreakCount="2">
    <brk id="73" max="16383" man="1"/>
    <brk id="1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EA47B-369D-482A-A24E-B0E6CFE6788A}">
  <sheetPr codeName="Tabelle8"/>
  <dimension ref="A1:U416"/>
  <sheetViews>
    <sheetView showGridLines="0" topLeftCell="H1" zoomScale="70" zoomScaleNormal="70" workbookViewId="0">
      <selection activeCell="C13" sqref="C13"/>
    </sheetView>
  </sheetViews>
  <sheetFormatPr baseColWidth="10" defaultColWidth="10.7109375" defaultRowHeight="16.5" x14ac:dyDescent="0.3"/>
  <cols>
    <col min="1" max="1" width="1.7109375" style="25" customWidth="1"/>
    <col min="2" max="2" width="3.28515625" style="25" customWidth="1"/>
    <col min="3" max="3" width="14.42578125" style="234" customWidth="1"/>
    <col min="4" max="4" width="17.42578125" style="234" customWidth="1"/>
    <col min="5" max="5" width="24.42578125" style="234" customWidth="1"/>
    <col min="6" max="6" width="21.5703125" style="234" customWidth="1"/>
    <col min="7" max="7" width="21.28515625" style="234" customWidth="1"/>
    <col min="8" max="8" width="19" style="234" customWidth="1"/>
    <col min="9" max="9" width="17.7109375" style="234" customWidth="1"/>
    <col min="10" max="10" width="33.28515625" style="234" customWidth="1"/>
    <col min="11" max="11" width="33.28515625" style="235" customWidth="1"/>
    <col min="12" max="12" width="16.85546875" style="94" customWidth="1"/>
    <col min="13" max="15" width="13.7109375" style="94" customWidth="1"/>
    <col min="16" max="18" width="13.7109375" style="25" customWidth="1"/>
    <col min="19" max="19" width="7" style="25" customWidth="1"/>
    <col min="20" max="20" width="17.7109375" style="25" customWidth="1"/>
    <col min="21" max="16384" width="10.7109375" style="25"/>
  </cols>
  <sheetData>
    <row r="1" spans="1:21" ht="27" x14ac:dyDescent="0.5">
      <c r="B1" s="27" t="s">
        <v>0</v>
      </c>
      <c r="C1" s="25"/>
      <c r="D1" s="25"/>
      <c r="E1" s="25"/>
      <c r="F1" s="25"/>
      <c r="G1" s="25"/>
      <c r="H1" s="25"/>
      <c r="I1" s="25"/>
      <c r="J1" s="25"/>
      <c r="K1" s="34"/>
    </row>
    <row r="2" spans="1:21" ht="31.15" customHeight="1" x14ac:dyDescent="0.3">
      <c r="B2" s="156" t="s">
        <v>206</v>
      </c>
      <c r="C2" s="28"/>
      <c r="D2" s="28"/>
      <c r="E2" s="28"/>
      <c r="F2" s="30"/>
      <c r="G2" s="30"/>
      <c r="H2" s="30"/>
      <c r="I2" s="30"/>
      <c r="J2" s="30"/>
      <c r="K2" s="35"/>
      <c r="L2" s="95"/>
      <c r="M2" s="95"/>
      <c r="N2" s="95"/>
      <c r="O2" s="95"/>
    </row>
    <row r="3" spans="1:21" ht="18.75" x14ac:dyDescent="0.4">
      <c r="A3" s="79"/>
      <c r="B3" s="79"/>
      <c r="C3" s="36" t="s">
        <v>83</v>
      </c>
      <c r="D3" s="79"/>
      <c r="E3" s="79"/>
      <c r="F3" s="79"/>
      <c r="G3" s="79"/>
      <c r="H3" s="79"/>
      <c r="I3" s="79"/>
      <c r="J3" s="79"/>
      <c r="K3" s="86"/>
      <c r="L3" s="245" t="s">
        <v>209</v>
      </c>
      <c r="M3" s="246"/>
      <c r="N3" s="246"/>
      <c r="O3" s="246"/>
      <c r="P3" s="246"/>
      <c r="Q3" s="246"/>
      <c r="R3" s="246"/>
      <c r="S3" s="228"/>
      <c r="T3" s="102"/>
    </row>
    <row r="4" spans="1:21" ht="18.75" x14ac:dyDescent="0.4">
      <c r="A4" s="79"/>
      <c r="B4" s="79"/>
      <c r="C4" s="36"/>
      <c r="D4" s="79"/>
      <c r="E4" s="79"/>
      <c r="F4" s="79"/>
      <c r="G4" s="79"/>
      <c r="H4" s="79"/>
      <c r="I4" s="79"/>
      <c r="J4" s="79"/>
      <c r="K4" s="86"/>
      <c r="L4" s="247" t="s">
        <v>210</v>
      </c>
      <c r="M4" s="301" t="s">
        <v>14</v>
      </c>
      <c r="N4" s="301"/>
      <c r="O4" s="301"/>
      <c r="P4" s="301" t="s">
        <v>9</v>
      </c>
      <c r="Q4" s="301"/>
      <c r="R4" s="301"/>
      <c r="S4" s="228"/>
      <c r="T4" s="102"/>
    </row>
    <row r="5" spans="1:21" ht="30" x14ac:dyDescent="0.4">
      <c r="A5" s="79"/>
      <c r="B5" s="79"/>
      <c r="C5" s="36"/>
      <c r="D5" s="79"/>
      <c r="E5" s="79"/>
      <c r="F5" s="79"/>
      <c r="G5" s="79"/>
      <c r="H5" s="79"/>
      <c r="I5" s="79"/>
      <c r="J5" s="79"/>
      <c r="K5" s="86"/>
      <c r="L5" s="248" t="s">
        <v>211</v>
      </c>
      <c r="M5" s="249" t="s">
        <v>68</v>
      </c>
      <c r="N5" s="248" t="s">
        <v>212</v>
      </c>
      <c r="O5" s="248" t="s">
        <v>66</v>
      </c>
      <c r="P5" s="249" t="s">
        <v>68</v>
      </c>
      <c r="Q5" s="248" t="s">
        <v>212</v>
      </c>
      <c r="R5" s="248" t="s">
        <v>66</v>
      </c>
      <c r="S5" s="228"/>
      <c r="T5" s="102"/>
    </row>
    <row r="6" spans="1:21" ht="18.75" x14ac:dyDescent="0.4">
      <c r="A6" s="79"/>
      <c r="B6" s="79"/>
      <c r="C6" s="36"/>
      <c r="D6" s="79"/>
      <c r="E6" s="79"/>
      <c r="F6" s="79"/>
      <c r="G6" s="79"/>
      <c r="H6" s="79"/>
      <c r="I6" s="79"/>
      <c r="J6" s="79"/>
      <c r="K6" s="86"/>
      <c r="L6" s="250" t="s">
        <v>197</v>
      </c>
      <c r="M6" s="251">
        <f>SUMIFS($H:$H,$E:$E,LEFT($L6,6),$J:$J,$M$4,$K:$K,"&lt;&gt;"&amp;$L7)</f>
        <v>0</v>
      </c>
      <c r="N6" s="251">
        <f>SUMIFS($G:$G,$E:$E,LEFT($L6,6),$J:$J,$M$4,$K:$K,"&lt;&gt;"&amp;$L7)</f>
        <v>0</v>
      </c>
      <c r="O6" s="251">
        <f>SUMIFS($F:$F,$E:$E,LEFT($L6,6),$J:$J,$M$4,$K:$K,"&lt;&gt;"&amp;$L7)</f>
        <v>0</v>
      </c>
      <c r="P6" s="251">
        <f>SUMIFS($H:$H,$E:$E,LEFT($L6,6),$J:$J,$P$4,$K:$K,"&lt;&gt;"&amp;$L7)</f>
        <v>0</v>
      </c>
      <c r="Q6" s="251">
        <f>SUMIFS($G:$G,$E:$E,LEFT($L6,6),$J:$J,$P$4,$K:$K,"&lt;&gt;"&amp;$L7)</f>
        <v>0</v>
      </c>
      <c r="R6" s="251">
        <f>SUMIFS($F:$F,$E:$E,LEFT($L6,6),$J:$J,$P$4,$K:$K,"&lt;&gt;"&amp;$L7)</f>
        <v>0</v>
      </c>
      <c r="S6" s="228"/>
      <c r="T6" s="102"/>
    </row>
    <row r="7" spans="1:21" ht="18.75" x14ac:dyDescent="0.4">
      <c r="A7" s="79"/>
      <c r="B7" s="79"/>
      <c r="C7" s="36"/>
      <c r="D7" s="79"/>
      <c r="E7" s="79"/>
      <c r="F7" s="79"/>
      <c r="G7" s="79"/>
      <c r="H7" s="79"/>
      <c r="I7" s="79"/>
      <c r="J7" s="79"/>
      <c r="K7" s="86"/>
      <c r="L7" s="250" t="s">
        <v>195</v>
      </c>
      <c r="M7" s="251">
        <f>SUMIFS($H:$H,$J:$J,$M$4,$K:$K,$L7)</f>
        <v>0</v>
      </c>
      <c r="N7" s="251">
        <f>SUMIFS($G:$G,$J:$J,$M$4,$K:$K,$L7)</f>
        <v>0</v>
      </c>
      <c r="O7" s="251">
        <f>SUMIFS($F:$F,$J:$J,$M$4,$K:$K,$L7)</f>
        <v>0</v>
      </c>
      <c r="P7" s="251">
        <f>SUMIFS($H:$H,$J:$J,$P$4,$K:$K,$L7)</f>
        <v>0</v>
      </c>
      <c r="Q7" s="251">
        <f>SUMIFS($G:$G,$J:$J,$P$4,$K:$K,$L7)</f>
        <v>0</v>
      </c>
      <c r="R7" s="251">
        <f>SUMIFS($F:$F,$J:$J,$P$4,$K:$K,$L7)</f>
        <v>0</v>
      </c>
      <c r="S7" s="228"/>
      <c r="T7" s="102"/>
    </row>
    <row r="8" spans="1:21" ht="18.75" x14ac:dyDescent="0.4">
      <c r="A8" s="79"/>
      <c r="B8" s="79"/>
      <c r="C8" s="36"/>
      <c r="D8" s="79"/>
      <c r="E8" s="79"/>
      <c r="F8" s="79"/>
      <c r="G8" s="79"/>
      <c r="H8" s="79"/>
      <c r="I8" s="79"/>
      <c r="J8" s="79"/>
      <c r="K8" s="86"/>
      <c r="L8" s="250" t="s">
        <v>198</v>
      </c>
      <c r="M8" s="251">
        <f>SUMIFS($H:$H,$E:$E,LEFT($L8,6),$J:$J,$M$4,$K:$K,"&lt;&gt;"&amp;$L9)</f>
        <v>0</v>
      </c>
      <c r="N8" s="251">
        <f>SUMIFS($G:$G,$E:$E,LEFT($L8,6),$J:$J,$M$4,$K:$K,"&lt;&gt;"&amp;$L9)</f>
        <v>0</v>
      </c>
      <c r="O8" s="251">
        <f>SUMIFS($F:$F,$E:$E,LEFT($L8,6),$J:$J,$M$4,$K:$K,"&lt;&gt;"&amp;$L9)</f>
        <v>0</v>
      </c>
      <c r="P8" s="251">
        <f>SUMIFS($H:$H,$E:$E,LEFT($L8,6),$J:$J,$P$4,$K:$K,"&lt;&gt;"&amp;$L9)</f>
        <v>0</v>
      </c>
      <c r="Q8" s="251">
        <f>SUMIFS($G:$G,$E:$E,LEFT($L8,6),$J:$J,$P$4,$K:$K,"&lt;&gt;"&amp;$L9)</f>
        <v>0</v>
      </c>
      <c r="R8" s="251">
        <f>SUMIFS($F:$F,$E:$E,LEFT($L8,6),$J:$J,$P$4,$K:$K,"&lt;&gt;"&amp;$L9)</f>
        <v>0</v>
      </c>
      <c r="S8" s="228"/>
      <c r="T8" s="102"/>
    </row>
    <row r="9" spans="1:21" ht="18.75" x14ac:dyDescent="0.4">
      <c r="A9" s="79"/>
      <c r="B9" s="79"/>
      <c r="C9" s="36"/>
      <c r="D9" s="79"/>
      <c r="E9" s="79"/>
      <c r="F9" s="79"/>
      <c r="G9" s="79"/>
      <c r="H9" s="79"/>
      <c r="I9" s="79"/>
      <c r="J9" s="79"/>
      <c r="K9" s="86"/>
      <c r="L9" s="250" t="s">
        <v>196</v>
      </c>
      <c r="M9" s="251">
        <f>SUMIFS($H:$H,$J:$J,$M$4,$K:$K,$L9)</f>
        <v>0</v>
      </c>
      <c r="N9" s="251">
        <f>SUMIFS($G:$G,$J:$J,$M$4,$K:$K,$L9)</f>
        <v>0</v>
      </c>
      <c r="O9" s="251">
        <f>SUMIFS($F:$F,$J:$J,$M$4,$K:$K,$L9)</f>
        <v>0</v>
      </c>
      <c r="P9" s="251">
        <f>SUMIFS($H:$H,$J:$J,$P$4,$K:$K,$L9)</f>
        <v>0</v>
      </c>
      <c r="Q9" s="251">
        <f>SUMIFS($G:$G,$J:$J,$P$4,$K:$K,$L9)</f>
        <v>0</v>
      </c>
      <c r="R9" s="251">
        <f>SUMIFS($F:$F,$J:$J,$P$4,$K:$K,$L9)</f>
        <v>0</v>
      </c>
      <c r="S9" s="228"/>
      <c r="T9" s="102"/>
    </row>
    <row r="10" spans="1:21" ht="18.75" x14ac:dyDescent="0.4">
      <c r="A10" s="79"/>
      <c r="B10" s="79"/>
      <c r="C10" s="36"/>
      <c r="D10" s="79"/>
      <c r="E10" s="79"/>
      <c r="F10" s="79"/>
      <c r="G10" s="79"/>
      <c r="H10" s="79"/>
      <c r="I10" s="79"/>
      <c r="J10" s="79"/>
      <c r="K10" s="289"/>
      <c r="L10" s="96"/>
      <c r="M10" s="96"/>
      <c r="N10" s="96"/>
      <c r="O10" s="96"/>
      <c r="P10" s="79"/>
      <c r="Q10" s="79"/>
      <c r="R10" s="79"/>
      <c r="S10" s="228"/>
      <c r="T10" s="102"/>
    </row>
    <row r="11" spans="1:21" ht="43.9" customHeight="1" x14ac:dyDescent="0.25">
      <c r="A11" s="97"/>
      <c r="B11" s="97"/>
      <c r="C11" s="157" t="s">
        <v>63</v>
      </c>
      <c r="D11" s="157" t="s">
        <v>64</v>
      </c>
      <c r="E11" s="158" t="s">
        <v>65</v>
      </c>
      <c r="F11" s="158" t="s">
        <v>66</v>
      </c>
      <c r="G11" s="157" t="s">
        <v>67</v>
      </c>
      <c r="H11" s="158" t="s">
        <v>68</v>
      </c>
      <c r="I11" s="157" t="s">
        <v>69</v>
      </c>
      <c r="J11" s="158" t="s">
        <v>207</v>
      </c>
      <c r="K11" s="288" t="s">
        <v>208</v>
      </c>
      <c r="L11" s="97"/>
      <c r="M11" s="97"/>
      <c r="N11" s="97"/>
      <c r="O11" s="97"/>
      <c r="P11" s="96"/>
      <c r="Q11" s="96"/>
      <c r="R11" s="96"/>
      <c r="S11" s="229"/>
      <c r="T11" s="94"/>
      <c r="U11" s="94"/>
    </row>
    <row r="12" spans="1:21" ht="4.9000000000000004" customHeight="1" x14ac:dyDescent="0.25">
      <c r="A12" s="98"/>
      <c r="B12" s="98"/>
      <c r="C12" s="98"/>
      <c r="D12" s="98"/>
      <c r="E12" s="98"/>
      <c r="F12" s="98"/>
      <c r="G12" s="98"/>
      <c r="H12" s="98"/>
      <c r="I12" s="98"/>
      <c r="J12" s="98"/>
      <c r="K12" s="108"/>
      <c r="L12" s="98"/>
      <c r="M12" s="98"/>
      <c r="N12" s="98"/>
      <c r="O12" s="98"/>
      <c r="P12" s="96"/>
      <c r="Q12" s="96"/>
      <c r="R12" s="96"/>
      <c r="S12" s="96"/>
      <c r="T12" s="94"/>
      <c r="U12" s="94"/>
    </row>
    <row r="13" spans="1:21" ht="15" x14ac:dyDescent="0.25">
      <c r="A13" s="98"/>
      <c r="B13" s="98"/>
      <c r="C13" s="266"/>
      <c r="D13" s="267"/>
      <c r="E13" s="256"/>
      <c r="F13" s="268"/>
      <c r="G13" s="271" t="str">
        <f t="shared" ref="G13:G76" si="0">IF(F13/par_TS_brutto&lt;&gt;0,ROUND(F13/par_TS_brutto,4),"")</f>
        <v/>
      </c>
      <c r="H13" s="269"/>
      <c r="I13" s="271" t="str">
        <f>IFERROR(ROUND(F13/H13,4),"")</f>
        <v/>
      </c>
      <c r="J13" s="270" t="s">
        <v>9</v>
      </c>
      <c r="K13" s="256" t="s">
        <v>194</v>
      </c>
      <c r="L13" s="98"/>
      <c r="M13" s="98"/>
      <c r="N13" s="98"/>
      <c r="O13" s="98"/>
      <c r="P13" s="79"/>
      <c r="Q13" s="79"/>
      <c r="R13" s="79"/>
      <c r="S13" s="79"/>
      <c r="U13" s="94"/>
    </row>
    <row r="14" spans="1:21" ht="15" x14ac:dyDescent="0.25">
      <c r="A14" s="98"/>
      <c r="B14" s="98"/>
      <c r="C14" s="266"/>
      <c r="D14" s="267"/>
      <c r="E14" s="257"/>
      <c r="F14" s="268"/>
      <c r="G14" s="271" t="str">
        <f t="shared" si="0"/>
        <v/>
      </c>
      <c r="H14" s="269"/>
      <c r="I14" s="271" t="str">
        <f t="shared" ref="I14:I77" si="1">IFERROR(ROUND(F14/H14,4),"")</f>
        <v/>
      </c>
      <c r="J14" s="270" t="s">
        <v>9</v>
      </c>
      <c r="K14" s="256" t="s">
        <v>194</v>
      </c>
      <c r="L14" s="98"/>
      <c r="M14" s="98"/>
      <c r="N14" s="98"/>
      <c r="O14" s="98"/>
      <c r="P14" s="79"/>
      <c r="Q14" s="79"/>
      <c r="R14" s="79"/>
      <c r="S14" s="79"/>
      <c r="U14" s="94"/>
    </row>
    <row r="15" spans="1:21" ht="15" x14ac:dyDescent="0.25">
      <c r="A15" s="98"/>
      <c r="B15" s="98"/>
      <c r="C15" s="266"/>
      <c r="D15" s="267"/>
      <c r="E15" s="257"/>
      <c r="F15" s="268"/>
      <c r="G15" s="271" t="str">
        <f t="shared" si="0"/>
        <v/>
      </c>
      <c r="H15" s="269"/>
      <c r="I15" s="271" t="str">
        <f t="shared" si="1"/>
        <v/>
      </c>
      <c r="J15" s="270" t="s">
        <v>9</v>
      </c>
      <c r="K15" s="256" t="s">
        <v>194</v>
      </c>
      <c r="L15" s="98"/>
      <c r="M15" s="98"/>
      <c r="N15" s="98"/>
      <c r="O15" s="98"/>
      <c r="P15" s="79"/>
      <c r="Q15" s="79"/>
      <c r="R15" s="79"/>
      <c r="S15" s="79"/>
      <c r="U15" s="94"/>
    </row>
    <row r="16" spans="1:21" ht="15" x14ac:dyDescent="0.25">
      <c r="A16" s="98"/>
      <c r="B16" s="98"/>
      <c r="C16" s="266"/>
      <c r="D16" s="267"/>
      <c r="E16" s="257"/>
      <c r="F16" s="268"/>
      <c r="G16" s="271" t="str">
        <f t="shared" si="0"/>
        <v/>
      </c>
      <c r="H16" s="269"/>
      <c r="I16" s="271" t="str">
        <f t="shared" si="1"/>
        <v/>
      </c>
      <c r="J16" s="270" t="s">
        <v>9</v>
      </c>
      <c r="K16" s="256" t="s">
        <v>194</v>
      </c>
      <c r="L16" s="98"/>
      <c r="M16" s="98"/>
      <c r="N16" s="98"/>
      <c r="O16" s="98"/>
      <c r="P16" s="79"/>
      <c r="Q16" s="79"/>
      <c r="R16" s="79"/>
      <c r="S16" s="79"/>
      <c r="U16" s="94"/>
    </row>
    <row r="17" spans="1:21" ht="15" x14ac:dyDescent="0.25">
      <c r="A17" s="98"/>
      <c r="B17" s="98"/>
      <c r="C17" s="266"/>
      <c r="D17" s="267"/>
      <c r="E17" s="257"/>
      <c r="F17" s="268"/>
      <c r="G17" s="271" t="str">
        <f t="shared" si="0"/>
        <v/>
      </c>
      <c r="H17" s="269"/>
      <c r="I17" s="271" t="str">
        <f t="shared" si="1"/>
        <v/>
      </c>
      <c r="J17" s="270" t="s">
        <v>9</v>
      </c>
      <c r="K17" s="256" t="s">
        <v>194</v>
      </c>
      <c r="L17" s="98"/>
      <c r="M17" s="98"/>
      <c r="N17" s="98"/>
      <c r="O17" s="98"/>
      <c r="P17" s="79"/>
      <c r="Q17" s="79"/>
      <c r="R17" s="79"/>
      <c r="S17" s="79"/>
      <c r="U17" s="94"/>
    </row>
    <row r="18" spans="1:21" ht="15" x14ac:dyDescent="0.25">
      <c r="A18" s="98"/>
      <c r="B18" s="98"/>
      <c r="C18" s="266"/>
      <c r="D18" s="267"/>
      <c r="E18" s="257"/>
      <c r="F18" s="268"/>
      <c r="G18" s="271" t="str">
        <f t="shared" si="0"/>
        <v/>
      </c>
      <c r="H18" s="269"/>
      <c r="I18" s="271" t="str">
        <f t="shared" si="1"/>
        <v/>
      </c>
      <c r="J18" s="270" t="s">
        <v>9</v>
      </c>
      <c r="K18" s="256" t="s">
        <v>194</v>
      </c>
      <c r="L18" s="98"/>
      <c r="M18" s="98"/>
      <c r="N18" s="98"/>
      <c r="O18" s="98"/>
      <c r="P18" s="79"/>
      <c r="Q18" s="79"/>
      <c r="R18" s="79"/>
      <c r="S18" s="79"/>
      <c r="U18" s="94"/>
    </row>
    <row r="19" spans="1:21" ht="15" x14ac:dyDescent="0.25">
      <c r="A19" s="98"/>
      <c r="B19" s="98"/>
      <c r="C19" s="266"/>
      <c r="D19" s="267"/>
      <c r="E19" s="257"/>
      <c r="F19" s="268"/>
      <c r="G19" s="271" t="str">
        <f t="shared" si="0"/>
        <v/>
      </c>
      <c r="H19" s="269"/>
      <c r="I19" s="271" t="str">
        <f t="shared" si="1"/>
        <v/>
      </c>
      <c r="J19" s="270" t="s">
        <v>9</v>
      </c>
      <c r="K19" s="256" t="s">
        <v>194</v>
      </c>
      <c r="L19" s="98"/>
      <c r="M19" s="98"/>
      <c r="N19" s="98"/>
      <c r="O19" s="98"/>
      <c r="P19" s="96"/>
      <c r="Q19" s="96"/>
      <c r="R19" s="96"/>
      <c r="S19" s="96"/>
      <c r="T19" s="94"/>
      <c r="U19" s="94"/>
    </row>
    <row r="20" spans="1:21" ht="15" x14ac:dyDescent="0.25">
      <c r="A20" s="98"/>
      <c r="B20" s="98"/>
      <c r="C20" s="266"/>
      <c r="D20" s="267"/>
      <c r="E20" s="257"/>
      <c r="F20" s="268"/>
      <c r="G20" s="271" t="str">
        <f t="shared" si="0"/>
        <v/>
      </c>
      <c r="H20" s="269"/>
      <c r="I20" s="271" t="str">
        <f t="shared" si="1"/>
        <v/>
      </c>
      <c r="J20" s="270" t="s">
        <v>9</v>
      </c>
      <c r="K20" s="256" t="s">
        <v>194</v>
      </c>
      <c r="L20" s="99"/>
      <c r="M20" s="99"/>
      <c r="N20" s="99"/>
      <c r="O20" s="99"/>
      <c r="P20" s="159"/>
      <c r="Q20" s="79"/>
      <c r="R20" s="79"/>
      <c r="S20" s="96"/>
      <c r="T20" s="94"/>
      <c r="U20" s="94"/>
    </row>
    <row r="21" spans="1:21" ht="15" x14ac:dyDescent="0.25">
      <c r="A21" s="98"/>
      <c r="B21" s="98"/>
      <c r="C21" s="266"/>
      <c r="D21" s="267"/>
      <c r="E21" s="257"/>
      <c r="F21" s="268"/>
      <c r="G21" s="271" t="str">
        <f t="shared" si="0"/>
        <v/>
      </c>
      <c r="H21" s="269"/>
      <c r="I21" s="271" t="str">
        <f t="shared" si="1"/>
        <v/>
      </c>
      <c r="J21" s="270" t="s">
        <v>9</v>
      </c>
      <c r="K21" s="256" t="s">
        <v>194</v>
      </c>
      <c r="L21" s="100"/>
      <c r="M21" s="100"/>
      <c r="N21" s="100"/>
      <c r="O21" s="100"/>
      <c r="P21" s="96"/>
      <c r="Q21" s="79"/>
      <c r="R21" s="79"/>
      <c r="S21" s="79"/>
      <c r="U21" s="94"/>
    </row>
    <row r="22" spans="1:21" ht="15" x14ac:dyDescent="0.25">
      <c r="A22" s="98"/>
      <c r="B22" s="98"/>
      <c r="C22" s="266"/>
      <c r="D22" s="267"/>
      <c r="E22" s="257"/>
      <c r="F22" s="268"/>
      <c r="G22" s="271" t="str">
        <f t="shared" si="0"/>
        <v/>
      </c>
      <c r="H22" s="269"/>
      <c r="I22" s="271" t="str">
        <f t="shared" si="1"/>
        <v/>
      </c>
      <c r="J22" s="270" t="s">
        <v>9</v>
      </c>
      <c r="K22" s="256" t="s">
        <v>194</v>
      </c>
      <c r="L22" s="100"/>
      <c r="M22" s="100"/>
      <c r="N22" s="100"/>
      <c r="O22" s="100"/>
      <c r="P22" s="160"/>
      <c r="Q22" s="79"/>
      <c r="R22" s="79"/>
      <c r="S22" s="79"/>
      <c r="U22" s="94"/>
    </row>
    <row r="23" spans="1:21" ht="15" x14ac:dyDescent="0.25">
      <c r="A23" s="98"/>
      <c r="B23" s="98"/>
      <c r="C23" s="266"/>
      <c r="D23" s="267"/>
      <c r="E23" s="257"/>
      <c r="F23" s="268"/>
      <c r="G23" s="271" t="str">
        <f t="shared" si="0"/>
        <v/>
      </c>
      <c r="H23" s="269"/>
      <c r="I23" s="271" t="str">
        <f t="shared" si="1"/>
        <v/>
      </c>
      <c r="J23" s="270" t="s">
        <v>9</v>
      </c>
      <c r="K23" s="256" t="s">
        <v>194</v>
      </c>
      <c r="L23" s="100"/>
      <c r="M23" s="100"/>
      <c r="N23" s="100"/>
      <c r="O23" s="100"/>
      <c r="P23" s="160"/>
      <c r="Q23" s="79"/>
      <c r="R23" s="79"/>
      <c r="S23" s="79"/>
      <c r="U23" s="94"/>
    </row>
    <row r="24" spans="1:21" ht="15" x14ac:dyDescent="0.25">
      <c r="A24" s="98"/>
      <c r="B24" s="98"/>
      <c r="C24" s="266"/>
      <c r="D24" s="267"/>
      <c r="E24" s="257"/>
      <c r="F24" s="268"/>
      <c r="G24" s="271" t="str">
        <f t="shared" si="0"/>
        <v/>
      </c>
      <c r="H24" s="269"/>
      <c r="I24" s="271" t="str">
        <f t="shared" si="1"/>
        <v/>
      </c>
      <c r="J24" s="270" t="s">
        <v>9</v>
      </c>
      <c r="K24" s="256" t="s">
        <v>194</v>
      </c>
      <c r="L24" s="100"/>
      <c r="M24" s="100"/>
      <c r="N24" s="100"/>
      <c r="O24" s="100"/>
      <c r="P24" s="160"/>
      <c r="Q24" s="79"/>
      <c r="R24" s="79"/>
      <c r="S24" s="79"/>
      <c r="U24" s="94"/>
    </row>
    <row r="25" spans="1:21" ht="15" x14ac:dyDescent="0.25">
      <c r="A25" s="98"/>
      <c r="B25" s="98"/>
      <c r="C25" s="266"/>
      <c r="D25" s="267"/>
      <c r="E25" s="257"/>
      <c r="F25" s="268"/>
      <c r="G25" s="271" t="str">
        <f t="shared" si="0"/>
        <v/>
      </c>
      <c r="H25" s="269"/>
      <c r="I25" s="271" t="str">
        <f t="shared" si="1"/>
        <v/>
      </c>
      <c r="J25" s="270" t="s">
        <v>9</v>
      </c>
      <c r="K25" s="256" t="s">
        <v>194</v>
      </c>
      <c r="L25" s="100"/>
      <c r="M25" s="153">
        <f>SUMIFS(H:H,E:E,"Diesel",J:J,"Nein")</f>
        <v>0</v>
      </c>
      <c r="N25" s="153">
        <f>SUMIFS(H:H,E:E,"Diesel",J:J,"Ja")</f>
        <v>0</v>
      </c>
      <c r="O25" s="100"/>
      <c r="P25" s="160"/>
      <c r="Q25" s="79"/>
      <c r="R25" s="79"/>
      <c r="S25" s="79"/>
      <c r="U25" s="94"/>
    </row>
    <row r="26" spans="1:21" ht="15" x14ac:dyDescent="0.25">
      <c r="A26" s="98"/>
      <c r="B26" s="98"/>
      <c r="C26" s="266"/>
      <c r="D26" s="267"/>
      <c r="E26" s="257"/>
      <c r="F26" s="268"/>
      <c r="G26" s="271" t="str">
        <f t="shared" si="0"/>
        <v/>
      </c>
      <c r="H26" s="269"/>
      <c r="I26" s="271" t="str">
        <f t="shared" si="1"/>
        <v/>
      </c>
      <c r="J26" s="270" t="s">
        <v>9</v>
      </c>
      <c r="K26" s="256" t="s">
        <v>194</v>
      </c>
      <c r="L26" s="100"/>
      <c r="M26" s="153">
        <f>SUMIFS(H:H,E:E,"Benzin",J:J,"Nein")</f>
        <v>0</v>
      </c>
      <c r="N26" s="153">
        <f>SUMIFS(H:H,E:E,"Benzin",J:J,"Ja")</f>
        <v>0</v>
      </c>
      <c r="O26" s="100"/>
      <c r="P26" s="96"/>
      <c r="Q26" s="96"/>
      <c r="R26" s="96"/>
      <c r="S26" s="96"/>
      <c r="T26" s="94"/>
      <c r="U26" s="94"/>
    </row>
    <row r="27" spans="1:21" ht="15" x14ac:dyDescent="0.25">
      <c r="A27" s="98"/>
      <c r="B27" s="98"/>
      <c r="C27" s="266"/>
      <c r="D27" s="267"/>
      <c r="E27" s="257"/>
      <c r="F27" s="268"/>
      <c r="G27" s="271" t="str">
        <f t="shared" si="0"/>
        <v/>
      </c>
      <c r="H27" s="269"/>
      <c r="I27" s="271" t="str">
        <f t="shared" si="1"/>
        <v/>
      </c>
      <c r="J27" s="270" t="s">
        <v>9</v>
      </c>
      <c r="K27" s="256" t="s">
        <v>194</v>
      </c>
      <c r="L27" s="100"/>
      <c r="M27" s="153"/>
      <c r="N27" s="153"/>
      <c r="O27" s="100"/>
      <c r="P27" s="96"/>
      <c r="Q27" s="96"/>
      <c r="R27" s="96"/>
      <c r="S27" s="96"/>
      <c r="T27" s="94"/>
      <c r="U27" s="94"/>
    </row>
    <row r="28" spans="1:21" ht="15" x14ac:dyDescent="0.25">
      <c r="A28" s="98"/>
      <c r="B28" s="98"/>
      <c r="C28" s="266"/>
      <c r="D28" s="267"/>
      <c r="E28" s="257"/>
      <c r="F28" s="268"/>
      <c r="G28" s="271" t="str">
        <f t="shared" si="0"/>
        <v/>
      </c>
      <c r="H28" s="269"/>
      <c r="I28" s="271" t="str">
        <f t="shared" si="1"/>
        <v/>
      </c>
      <c r="J28" s="270" t="s">
        <v>9</v>
      </c>
      <c r="K28" s="256" t="s">
        <v>194</v>
      </c>
      <c r="L28" s="100"/>
      <c r="M28" s="153">
        <f>SUMIFS(G:G,E:E,"Diesel",J:J,"Nein")</f>
        <v>0</v>
      </c>
      <c r="N28" s="153">
        <f>SUMIFS(G:G,E:E,"Diesel",J:J,"Ja")</f>
        <v>0</v>
      </c>
      <c r="O28" s="100"/>
      <c r="P28" s="96"/>
      <c r="Q28" s="96"/>
      <c r="R28" s="96"/>
      <c r="S28" s="96"/>
      <c r="T28" s="94"/>
      <c r="U28" s="94"/>
    </row>
    <row r="29" spans="1:21" ht="15" x14ac:dyDescent="0.25">
      <c r="A29" s="98"/>
      <c r="B29" s="98"/>
      <c r="C29" s="266"/>
      <c r="D29" s="267"/>
      <c r="E29" s="257"/>
      <c r="F29" s="268"/>
      <c r="G29" s="271" t="str">
        <f t="shared" si="0"/>
        <v/>
      </c>
      <c r="H29" s="269"/>
      <c r="I29" s="271" t="str">
        <f t="shared" si="1"/>
        <v/>
      </c>
      <c r="J29" s="270" t="s">
        <v>9</v>
      </c>
      <c r="K29" s="256" t="s">
        <v>194</v>
      </c>
      <c r="L29" s="100"/>
      <c r="M29" s="153">
        <f>SUMIFS(G:G,E:E,"Benzin",J:J,"Nein")</f>
        <v>0</v>
      </c>
      <c r="N29" s="153">
        <f>SUMIFS(G:G,E:E,"Benzin",J:J,"Ja")</f>
        <v>0</v>
      </c>
      <c r="O29" s="100"/>
      <c r="P29" s="96"/>
      <c r="Q29" s="96"/>
      <c r="R29" s="96"/>
      <c r="S29" s="96"/>
      <c r="T29" s="94"/>
      <c r="U29" s="94"/>
    </row>
    <row r="30" spans="1:21" ht="15" x14ac:dyDescent="0.25">
      <c r="A30" s="98"/>
      <c r="B30" s="98"/>
      <c r="C30" s="266"/>
      <c r="D30" s="267"/>
      <c r="E30" s="257"/>
      <c r="F30" s="268"/>
      <c r="G30" s="271" t="str">
        <f t="shared" si="0"/>
        <v/>
      </c>
      <c r="H30" s="269"/>
      <c r="I30" s="271" t="str">
        <f t="shared" si="1"/>
        <v/>
      </c>
      <c r="J30" s="270" t="s">
        <v>9</v>
      </c>
      <c r="K30" s="256" t="s">
        <v>194</v>
      </c>
      <c r="L30" s="100"/>
      <c r="M30" s="153"/>
      <c r="N30" s="153"/>
      <c r="O30" s="100"/>
      <c r="P30" s="96"/>
      <c r="Q30" s="96"/>
      <c r="R30" s="96"/>
      <c r="S30" s="96"/>
      <c r="T30" s="94"/>
      <c r="U30" s="94"/>
    </row>
    <row r="31" spans="1:21" ht="15" x14ac:dyDescent="0.25">
      <c r="A31" s="98"/>
      <c r="B31" s="98"/>
      <c r="C31" s="266"/>
      <c r="D31" s="267"/>
      <c r="E31" s="257"/>
      <c r="F31" s="268"/>
      <c r="G31" s="271" t="str">
        <f t="shared" si="0"/>
        <v/>
      </c>
      <c r="H31" s="269"/>
      <c r="I31" s="271" t="str">
        <f t="shared" si="1"/>
        <v/>
      </c>
      <c r="J31" s="270" t="s">
        <v>9</v>
      </c>
      <c r="K31" s="256" t="s">
        <v>194</v>
      </c>
      <c r="L31" s="100"/>
      <c r="M31" s="153">
        <f>SUMIFS(F:F,E:E,"Diesel",J:J,"Nein")</f>
        <v>0</v>
      </c>
      <c r="N31" s="153">
        <f>SUMIFS(G:G,E:E,"Diesel",J:J,"Ja")</f>
        <v>0</v>
      </c>
      <c r="O31" s="100"/>
      <c r="P31" s="96"/>
      <c r="Q31" s="96"/>
      <c r="R31" s="96"/>
      <c r="S31" s="96"/>
      <c r="T31" s="94"/>
      <c r="U31" s="94"/>
    </row>
    <row r="32" spans="1:21" ht="15" x14ac:dyDescent="0.25">
      <c r="A32" s="98"/>
      <c r="B32" s="98"/>
      <c r="C32" s="266"/>
      <c r="D32" s="267"/>
      <c r="E32" s="257"/>
      <c r="F32" s="268"/>
      <c r="G32" s="271" t="str">
        <f t="shared" si="0"/>
        <v/>
      </c>
      <c r="H32" s="269"/>
      <c r="I32" s="271" t="str">
        <f t="shared" si="1"/>
        <v/>
      </c>
      <c r="J32" s="270" t="s">
        <v>9</v>
      </c>
      <c r="K32" s="256" t="s">
        <v>194</v>
      </c>
      <c r="L32" s="100"/>
      <c r="M32" s="153">
        <f>SUMIFS(F:F,E:E,"Benzin",J:J,"Nein")</f>
        <v>0</v>
      </c>
      <c r="N32" s="153">
        <f>SUMIFS(G:G,E:E,"Benzin",J:J,"Ja")</f>
        <v>0</v>
      </c>
      <c r="O32" s="100"/>
      <c r="P32" s="96"/>
      <c r="Q32" s="96"/>
      <c r="R32" s="96"/>
      <c r="S32" s="96"/>
      <c r="T32" s="94"/>
      <c r="U32" s="94"/>
    </row>
    <row r="33" spans="1:21" ht="15" x14ac:dyDescent="0.25">
      <c r="A33" s="98"/>
      <c r="B33" s="98"/>
      <c r="C33" s="266"/>
      <c r="D33" s="267"/>
      <c r="E33" s="257"/>
      <c r="F33" s="268"/>
      <c r="G33" s="271" t="str">
        <f t="shared" si="0"/>
        <v/>
      </c>
      <c r="H33" s="269"/>
      <c r="I33" s="271" t="str">
        <f t="shared" si="1"/>
        <v/>
      </c>
      <c r="J33" s="270" t="s">
        <v>9</v>
      </c>
      <c r="K33" s="256" t="s">
        <v>194</v>
      </c>
      <c r="L33" s="100"/>
      <c r="M33" s="100"/>
      <c r="N33" s="100"/>
      <c r="O33" s="100"/>
      <c r="P33" s="96"/>
      <c r="Q33" s="96"/>
      <c r="R33" s="96"/>
      <c r="S33" s="96"/>
      <c r="T33" s="94"/>
      <c r="U33" s="94"/>
    </row>
    <row r="34" spans="1:21" ht="15" x14ac:dyDescent="0.25">
      <c r="A34" s="98"/>
      <c r="B34" s="98"/>
      <c r="C34" s="266"/>
      <c r="D34" s="267"/>
      <c r="E34" s="257"/>
      <c r="F34" s="268"/>
      <c r="G34" s="271" t="str">
        <f t="shared" si="0"/>
        <v/>
      </c>
      <c r="H34" s="269"/>
      <c r="I34" s="271" t="str">
        <f t="shared" si="1"/>
        <v/>
      </c>
      <c r="J34" s="270" t="s">
        <v>9</v>
      </c>
      <c r="K34" s="256" t="s">
        <v>194</v>
      </c>
      <c r="L34" s="100"/>
      <c r="M34" s="100"/>
      <c r="N34" s="100"/>
      <c r="O34" s="100"/>
      <c r="P34" s="96"/>
      <c r="Q34" s="96"/>
      <c r="R34" s="96"/>
      <c r="S34" s="96"/>
      <c r="T34" s="94"/>
      <c r="U34" s="94"/>
    </row>
    <row r="35" spans="1:21" ht="15" x14ac:dyDescent="0.25">
      <c r="A35" s="98"/>
      <c r="B35" s="98"/>
      <c r="C35" s="266"/>
      <c r="D35" s="267"/>
      <c r="E35" s="257"/>
      <c r="F35" s="268"/>
      <c r="G35" s="271" t="str">
        <f t="shared" si="0"/>
        <v/>
      </c>
      <c r="H35" s="269"/>
      <c r="I35" s="271" t="str">
        <f t="shared" si="1"/>
        <v/>
      </c>
      <c r="J35" s="270" t="s">
        <v>9</v>
      </c>
      <c r="K35" s="256" t="s">
        <v>194</v>
      </c>
      <c r="L35" s="100"/>
      <c r="M35" s="100"/>
      <c r="N35" s="100"/>
      <c r="O35" s="100"/>
      <c r="P35" s="96"/>
      <c r="Q35" s="96"/>
      <c r="R35" s="96"/>
      <c r="S35" s="96"/>
      <c r="T35" s="94"/>
      <c r="U35" s="94"/>
    </row>
    <row r="36" spans="1:21" ht="15" x14ac:dyDescent="0.25">
      <c r="A36" s="98"/>
      <c r="B36" s="98"/>
      <c r="C36" s="266"/>
      <c r="D36" s="267"/>
      <c r="E36" s="257"/>
      <c r="F36" s="268"/>
      <c r="G36" s="271" t="str">
        <f t="shared" si="0"/>
        <v/>
      </c>
      <c r="H36" s="269"/>
      <c r="I36" s="271" t="str">
        <f t="shared" si="1"/>
        <v/>
      </c>
      <c r="J36" s="270" t="s">
        <v>9</v>
      </c>
      <c r="K36" s="256" t="s">
        <v>194</v>
      </c>
      <c r="L36" s="100"/>
      <c r="M36" s="100"/>
      <c r="N36" s="100"/>
      <c r="O36" s="100"/>
      <c r="P36" s="96"/>
      <c r="Q36" s="96"/>
      <c r="R36" s="96"/>
      <c r="S36" s="96"/>
      <c r="T36" s="94"/>
      <c r="U36" s="94"/>
    </row>
    <row r="37" spans="1:21" ht="15" x14ac:dyDescent="0.25">
      <c r="A37" s="98"/>
      <c r="B37" s="98"/>
      <c r="C37" s="266"/>
      <c r="D37" s="267"/>
      <c r="E37" s="257"/>
      <c r="F37" s="268"/>
      <c r="G37" s="271" t="str">
        <f t="shared" si="0"/>
        <v/>
      </c>
      <c r="H37" s="269"/>
      <c r="I37" s="271" t="str">
        <f t="shared" si="1"/>
        <v/>
      </c>
      <c r="J37" s="270" t="s">
        <v>9</v>
      </c>
      <c r="K37" s="256" t="s">
        <v>194</v>
      </c>
      <c r="L37" s="100"/>
      <c r="M37" s="100"/>
      <c r="N37" s="100"/>
      <c r="O37" s="100"/>
      <c r="P37" s="96"/>
      <c r="Q37" s="96"/>
      <c r="R37" s="96"/>
      <c r="S37" s="96"/>
      <c r="T37" s="94"/>
      <c r="U37" s="94"/>
    </row>
    <row r="38" spans="1:21" ht="15" x14ac:dyDescent="0.25">
      <c r="A38" s="98"/>
      <c r="B38" s="98"/>
      <c r="C38" s="266"/>
      <c r="D38" s="267"/>
      <c r="E38" s="257"/>
      <c r="F38" s="268"/>
      <c r="G38" s="271" t="str">
        <f t="shared" si="0"/>
        <v/>
      </c>
      <c r="H38" s="269"/>
      <c r="I38" s="271" t="str">
        <f t="shared" si="1"/>
        <v/>
      </c>
      <c r="J38" s="270" t="s">
        <v>9</v>
      </c>
      <c r="K38" s="256" t="s">
        <v>194</v>
      </c>
      <c r="L38" s="100"/>
      <c r="M38" s="100"/>
      <c r="N38" s="100"/>
      <c r="O38" s="100"/>
      <c r="P38" s="96"/>
      <c r="Q38" s="96"/>
      <c r="R38" s="96"/>
      <c r="S38" s="96"/>
      <c r="T38" s="94"/>
      <c r="U38" s="94"/>
    </row>
    <row r="39" spans="1:21" ht="15" x14ac:dyDescent="0.25">
      <c r="A39" s="98"/>
      <c r="B39" s="98"/>
      <c r="C39" s="266"/>
      <c r="D39" s="267"/>
      <c r="E39" s="257"/>
      <c r="F39" s="268"/>
      <c r="G39" s="271" t="str">
        <f t="shared" si="0"/>
        <v/>
      </c>
      <c r="H39" s="269"/>
      <c r="I39" s="271" t="str">
        <f t="shared" si="1"/>
        <v/>
      </c>
      <c r="J39" s="270" t="s">
        <v>9</v>
      </c>
      <c r="K39" s="256" t="s">
        <v>194</v>
      </c>
      <c r="L39" s="100"/>
      <c r="M39" s="100"/>
      <c r="N39" s="100"/>
      <c r="O39" s="100"/>
      <c r="P39" s="96"/>
      <c r="Q39" s="96"/>
      <c r="R39" s="96"/>
      <c r="S39" s="96"/>
      <c r="T39" s="94"/>
      <c r="U39" s="94"/>
    </row>
    <row r="40" spans="1:21" ht="15" x14ac:dyDescent="0.25">
      <c r="A40" s="154"/>
      <c r="B40" s="154"/>
      <c r="C40" s="266"/>
      <c r="D40" s="267"/>
      <c r="E40" s="257"/>
      <c r="F40" s="268"/>
      <c r="G40" s="271" t="str">
        <f t="shared" si="0"/>
        <v/>
      </c>
      <c r="H40" s="269"/>
      <c r="I40" s="271" t="str">
        <f t="shared" si="1"/>
        <v/>
      </c>
      <c r="J40" s="270" t="s">
        <v>9</v>
      </c>
      <c r="K40" s="256" t="s">
        <v>194</v>
      </c>
      <c r="L40" s="155"/>
      <c r="M40" s="155"/>
      <c r="N40" s="155"/>
      <c r="O40" s="155"/>
      <c r="P40" s="96"/>
      <c r="Q40" s="96"/>
      <c r="R40" s="96"/>
      <c r="S40" s="96"/>
      <c r="T40" s="94"/>
      <c r="U40" s="94"/>
    </row>
    <row r="41" spans="1:21" ht="15" x14ac:dyDescent="0.25">
      <c r="A41" s="98"/>
      <c r="B41" s="98"/>
      <c r="C41" s="266"/>
      <c r="D41" s="267"/>
      <c r="E41" s="257"/>
      <c r="F41" s="268"/>
      <c r="G41" s="271" t="str">
        <f t="shared" si="0"/>
        <v/>
      </c>
      <c r="H41" s="269"/>
      <c r="I41" s="271" t="str">
        <f t="shared" si="1"/>
        <v/>
      </c>
      <c r="J41" s="270" t="s">
        <v>9</v>
      </c>
      <c r="K41" s="256" t="s">
        <v>194</v>
      </c>
      <c r="L41" s="100"/>
      <c r="M41" s="100"/>
      <c r="N41" s="100"/>
      <c r="O41" s="100"/>
      <c r="P41" s="96"/>
      <c r="Q41" s="96"/>
      <c r="R41" s="96"/>
      <c r="S41" s="96"/>
      <c r="T41" s="94"/>
      <c r="U41" s="94"/>
    </row>
    <row r="42" spans="1:21" ht="15" x14ac:dyDescent="0.25">
      <c r="A42" s="98"/>
      <c r="B42" s="98"/>
      <c r="C42" s="266"/>
      <c r="D42" s="267"/>
      <c r="E42" s="257"/>
      <c r="F42" s="268"/>
      <c r="G42" s="271" t="str">
        <f t="shared" si="0"/>
        <v/>
      </c>
      <c r="H42" s="269"/>
      <c r="I42" s="271" t="str">
        <f t="shared" si="1"/>
        <v/>
      </c>
      <c r="J42" s="270" t="s">
        <v>9</v>
      </c>
      <c r="K42" s="256" t="s">
        <v>194</v>
      </c>
      <c r="L42" s="100"/>
      <c r="M42" s="100"/>
      <c r="N42" s="100"/>
      <c r="O42" s="100"/>
      <c r="P42" s="96"/>
      <c r="Q42" s="96"/>
      <c r="R42" s="96"/>
      <c r="S42" s="96"/>
      <c r="T42" s="94"/>
      <c r="U42" s="94"/>
    </row>
    <row r="43" spans="1:21" ht="15" x14ac:dyDescent="0.25">
      <c r="A43" s="154"/>
      <c r="B43" s="154"/>
      <c r="C43" s="266"/>
      <c r="D43" s="267"/>
      <c r="E43" s="257"/>
      <c r="F43" s="268"/>
      <c r="G43" s="271" t="str">
        <f t="shared" si="0"/>
        <v/>
      </c>
      <c r="H43" s="269"/>
      <c r="I43" s="271" t="str">
        <f t="shared" si="1"/>
        <v/>
      </c>
      <c r="J43" s="270" t="s">
        <v>9</v>
      </c>
      <c r="K43" s="256" t="s">
        <v>194</v>
      </c>
      <c r="L43" s="155"/>
      <c r="M43" s="155"/>
      <c r="N43" s="155"/>
      <c r="O43" s="155"/>
      <c r="P43" s="96"/>
      <c r="Q43" s="96"/>
      <c r="R43" s="96"/>
      <c r="S43" s="96"/>
      <c r="T43" s="94"/>
      <c r="U43" s="94"/>
    </row>
    <row r="44" spans="1:21" ht="15" x14ac:dyDescent="0.25">
      <c r="A44" s="154"/>
      <c r="B44" s="154"/>
      <c r="C44" s="266"/>
      <c r="D44" s="267"/>
      <c r="E44" s="257"/>
      <c r="F44" s="268"/>
      <c r="G44" s="271" t="str">
        <f t="shared" si="0"/>
        <v/>
      </c>
      <c r="H44" s="269"/>
      <c r="I44" s="271" t="str">
        <f t="shared" si="1"/>
        <v/>
      </c>
      <c r="J44" s="270" t="s">
        <v>9</v>
      </c>
      <c r="K44" s="256" t="s">
        <v>194</v>
      </c>
      <c r="L44" s="100"/>
      <c r="M44" s="100"/>
      <c r="N44" s="100"/>
      <c r="O44" s="100"/>
      <c r="P44" s="96"/>
      <c r="Q44" s="96"/>
      <c r="R44" s="96"/>
      <c r="S44" s="96"/>
      <c r="T44" s="94"/>
      <c r="U44" s="94"/>
    </row>
    <row r="45" spans="1:21" ht="15" x14ac:dyDescent="0.25">
      <c r="A45" s="154"/>
      <c r="B45" s="154"/>
      <c r="C45" s="266"/>
      <c r="D45" s="267"/>
      <c r="E45" s="257"/>
      <c r="F45" s="268"/>
      <c r="G45" s="271" t="str">
        <f t="shared" si="0"/>
        <v/>
      </c>
      <c r="H45" s="269"/>
      <c r="I45" s="271" t="str">
        <f t="shared" si="1"/>
        <v/>
      </c>
      <c r="J45" s="270" t="s">
        <v>9</v>
      </c>
      <c r="K45" s="256" t="s">
        <v>194</v>
      </c>
      <c r="L45" s="100"/>
      <c r="M45" s="100"/>
      <c r="N45" s="100"/>
      <c r="O45" s="100"/>
      <c r="P45" s="96"/>
      <c r="Q45" s="96"/>
      <c r="R45" s="96"/>
      <c r="S45" s="96"/>
      <c r="T45" s="94"/>
      <c r="U45" s="94"/>
    </row>
    <row r="46" spans="1:21" ht="15" x14ac:dyDescent="0.25">
      <c r="A46" s="154"/>
      <c r="B46" s="154"/>
      <c r="C46" s="266"/>
      <c r="D46" s="267"/>
      <c r="E46" s="257"/>
      <c r="F46" s="268"/>
      <c r="G46" s="271" t="str">
        <f t="shared" si="0"/>
        <v/>
      </c>
      <c r="H46" s="269"/>
      <c r="I46" s="271" t="str">
        <f t="shared" si="1"/>
        <v/>
      </c>
      <c r="J46" s="270" t="s">
        <v>9</v>
      </c>
      <c r="K46" s="256" t="s">
        <v>194</v>
      </c>
      <c r="L46" s="155"/>
      <c r="M46" s="155"/>
      <c r="N46" s="155"/>
      <c r="O46" s="155"/>
      <c r="P46" s="96"/>
      <c r="Q46" s="96"/>
      <c r="R46" s="96"/>
      <c r="S46" s="96"/>
      <c r="T46" s="94"/>
      <c r="U46" s="94"/>
    </row>
    <row r="47" spans="1:21" ht="15" x14ac:dyDescent="0.25">
      <c r="A47" s="154"/>
      <c r="B47" s="154"/>
      <c r="C47" s="266"/>
      <c r="D47" s="267"/>
      <c r="E47" s="257"/>
      <c r="F47" s="268"/>
      <c r="G47" s="271" t="str">
        <f t="shared" si="0"/>
        <v/>
      </c>
      <c r="H47" s="269"/>
      <c r="I47" s="271" t="str">
        <f t="shared" si="1"/>
        <v/>
      </c>
      <c r="J47" s="270" t="s">
        <v>9</v>
      </c>
      <c r="K47" s="256" t="s">
        <v>194</v>
      </c>
      <c r="L47" s="100"/>
      <c r="M47" s="100"/>
      <c r="N47" s="100"/>
      <c r="O47" s="100"/>
      <c r="P47" s="96"/>
      <c r="Q47" s="96"/>
      <c r="R47" s="96"/>
      <c r="S47" s="96"/>
      <c r="T47" s="94"/>
      <c r="U47" s="94"/>
    </row>
    <row r="48" spans="1:21" ht="15" x14ac:dyDescent="0.25">
      <c r="A48" s="154"/>
      <c r="B48" s="154"/>
      <c r="C48" s="266"/>
      <c r="D48" s="267"/>
      <c r="E48" s="257"/>
      <c r="F48" s="268"/>
      <c r="G48" s="271" t="str">
        <f t="shared" si="0"/>
        <v/>
      </c>
      <c r="H48" s="269"/>
      <c r="I48" s="271" t="str">
        <f t="shared" si="1"/>
        <v/>
      </c>
      <c r="J48" s="270" t="s">
        <v>9</v>
      </c>
      <c r="K48" s="256" t="s">
        <v>194</v>
      </c>
      <c r="L48" s="100"/>
      <c r="M48" s="100"/>
      <c r="N48" s="100"/>
      <c r="O48" s="100"/>
      <c r="P48" s="96"/>
      <c r="Q48" s="96"/>
      <c r="R48" s="96"/>
      <c r="S48" s="96"/>
      <c r="T48" s="94"/>
      <c r="U48" s="94"/>
    </row>
    <row r="49" spans="1:21" ht="15" x14ac:dyDescent="0.25">
      <c r="A49" s="154"/>
      <c r="B49" s="154"/>
      <c r="C49" s="266"/>
      <c r="D49" s="267"/>
      <c r="E49" s="257"/>
      <c r="F49" s="268"/>
      <c r="G49" s="271" t="str">
        <f t="shared" si="0"/>
        <v/>
      </c>
      <c r="H49" s="269"/>
      <c r="I49" s="271" t="str">
        <f t="shared" si="1"/>
        <v/>
      </c>
      <c r="J49" s="270" t="s">
        <v>9</v>
      </c>
      <c r="K49" s="256" t="s">
        <v>194</v>
      </c>
      <c r="L49" s="155"/>
      <c r="M49" s="155"/>
      <c r="N49" s="155"/>
      <c r="O49" s="155"/>
      <c r="P49" s="96"/>
      <c r="Q49" s="96"/>
      <c r="R49" s="96"/>
      <c r="S49" s="96"/>
      <c r="T49" s="94"/>
      <c r="U49" s="94"/>
    </row>
    <row r="50" spans="1:21" ht="15" x14ac:dyDescent="0.25">
      <c r="A50" s="154"/>
      <c r="B50" s="154"/>
      <c r="C50" s="266"/>
      <c r="D50" s="267"/>
      <c r="E50" s="257"/>
      <c r="F50" s="268"/>
      <c r="G50" s="271" t="str">
        <f t="shared" si="0"/>
        <v/>
      </c>
      <c r="H50" s="269"/>
      <c r="I50" s="271" t="str">
        <f t="shared" si="1"/>
        <v/>
      </c>
      <c r="J50" s="270" t="s">
        <v>9</v>
      </c>
      <c r="K50" s="256" t="s">
        <v>194</v>
      </c>
      <c r="L50" s="100"/>
      <c r="M50" s="100"/>
      <c r="N50" s="100"/>
      <c r="O50" s="100"/>
      <c r="P50" s="96"/>
      <c r="Q50" s="96"/>
      <c r="R50" s="96"/>
      <c r="S50" s="96"/>
      <c r="T50" s="94"/>
      <c r="U50" s="94"/>
    </row>
    <row r="51" spans="1:21" ht="15" x14ac:dyDescent="0.25">
      <c r="A51" s="154"/>
      <c r="B51" s="154"/>
      <c r="C51" s="266"/>
      <c r="D51" s="267"/>
      <c r="E51" s="257"/>
      <c r="F51" s="268"/>
      <c r="G51" s="271" t="str">
        <f t="shared" si="0"/>
        <v/>
      </c>
      <c r="H51" s="269"/>
      <c r="I51" s="271" t="str">
        <f t="shared" si="1"/>
        <v/>
      </c>
      <c r="J51" s="270" t="s">
        <v>9</v>
      </c>
      <c r="K51" s="256" t="s">
        <v>194</v>
      </c>
      <c r="L51" s="100"/>
      <c r="M51" s="100"/>
      <c r="N51" s="100"/>
      <c r="O51" s="100"/>
      <c r="P51" s="96"/>
      <c r="Q51" s="96"/>
      <c r="R51" s="96"/>
      <c r="S51" s="96"/>
      <c r="T51" s="94"/>
      <c r="U51" s="94"/>
    </row>
    <row r="52" spans="1:21" ht="15" x14ac:dyDescent="0.25">
      <c r="A52" s="154"/>
      <c r="B52" s="154"/>
      <c r="C52" s="266"/>
      <c r="D52" s="267"/>
      <c r="E52" s="257"/>
      <c r="F52" s="268"/>
      <c r="G52" s="271" t="str">
        <f t="shared" si="0"/>
        <v/>
      </c>
      <c r="H52" s="269"/>
      <c r="I52" s="271" t="str">
        <f t="shared" si="1"/>
        <v/>
      </c>
      <c r="J52" s="270" t="s">
        <v>9</v>
      </c>
      <c r="K52" s="256" t="s">
        <v>194</v>
      </c>
      <c r="L52" s="155"/>
      <c r="M52" s="155"/>
      <c r="N52" s="155"/>
      <c r="O52" s="155"/>
      <c r="P52" s="96"/>
      <c r="Q52" s="96"/>
      <c r="R52" s="96"/>
      <c r="S52" s="96"/>
      <c r="T52" s="94"/>
      <c r="U52" s="94"/>
    </row>
    <row r="53" spans="1:21" ht="15" x14ac:dyDescent="0.25">
      <c r="A53" s="154"/>
      <c r="B53" s="154"/>
      <c r="C53" s="266"/>
      <c r="D53" s="267"/>
      <c r="E53" s="257"/>
      <c r="F53" s="268"/>
      <c r="G53" s="271" t="str">
        <f t="shared" si="0"/>
        <v/>
      </c>
      <c r="H53" s="269"/>
      <c r="I53" s="271" t="str">
        <f t="shared" si="1"/>
        <v/>
      </c>
      <c r="J53" s="270" t="s">
        <v>9</v>
      </c>
      <c r="K53" s="256" t="s">
        <v>194</v>
      </c>
      <c r="L53" s="100"/>
      <c r="M53" s="100"/>
      <c r="N53" s="100"/>
      <c r="O53" s="100"/>
      <c r="P53" s="96"/>
      <c r="Q53" s="96"/>
      <c r="R53" s="96"/>
      <c r="S53" s="96"/>
      <c r="T53" s="94"/>
      <c r="U53" s="94"/>
    </row>
    <row r="54" spans="1:21" ht="15" x14ac:dyDescent="0.25">
      <c r="A54" s="154"/>
      <c r="B54" s="154"/>
      <c r="C54" s="266"/>
      <c r="D54" s="267"/>
      <c r="E54" s="257"/>
      <c r="F54" s="268"/>
      <c r="G54" s="271" t="str">
        <f t="shared" si="0"/>
        <v/>
      </c>
      <c r="H54" s="269"/>
      <c r="I54" s="271" t="str">
        <f t="shared" si="1"/>
        <v/>
      </c>
      <c r="J54" s="270" t="s">
        <v>9</v>
      </c>
      <c r="K54" s="256" t="s">
        <v>194</v>
      </c>
      <c r="L54" s="100"/>
      <c r="M54" s="100"/>
      <c r="N54" s="100"/>
      <c r="O54" s="100"/>
      <c r="P54" s="96"/>
      <c r="Q54" s="96"/>
      <c r="R54" s="96"/>
      <c r="S54" s="96"/>
      <c r="T54" s="94"/>
      <c r="U54" s="94"/>
    </row>
    <row r="55" spans="1:21" ht="15" x14ac:dyDescent="0.25">
      <c r="A55" s="154"/>
      <c r="B55" s="154"/>
      <c r="C55" s="266"/>
      <c r="D55" s="267"/>
      <c r="E55" s="257"/>
      <c r="F55" s="268"/>
      <c r="G55" s="271" t="str">
        <f t="shared" si="0"/>
        <v/>
      </c>
      <c r="H55" s="269"/>
      <c r="I55" s="271" t="str">
        <f t="shared" si="1"/>
        <v/>
      </c>
      <c r="J55" s="270" t="s">
        <v>9</v>
      </c>
      <c r="K55" s="256" t="s">
        <v>194</v>
      </c>
      <c r="L55" s="155"/>
      <c r="M55" s="155"/>
      <c r="N55" s="155"/>
      <c r="O55" s="155"/>
      <c r="P55" s="96"/>
      <c r="Q55" s="96"/>
      <c r="R55" s="96"/>
      <c r="S55" s="96"/>
      <c r="T55" s="94"/>
      <c r="U55" s="94"/>
    </row>
    <row r="56" spans="1:21" ht="15" x14ac:dyDescent="0.25">
      <c r="A56" s="154"/>
      <c r="B56" s="154"/>
      <c r="C56" s="266"/>
      <c r="D56" s="267"/>
      <c r="E56" s="257"/>
      <c r="F56" s="268"/>
      <c r="G56" s="271" t="str">
        <f t="shared" si="0"/>
        <v/>
      </c>
      <c r="H56" s="269"/>
      <c r="I56" s="271" t="str">
        <f t="shared" si="1"/>
        <v/>
      </c>
      <c r="J56" s="270" t="s">
        <v>9</v>
      </c>
      <c r="K56" s="256" t="s">
        <v>194</v>
      </c>
      <c r="L56" s="100"/>
      <c r="M56" s="100"/>
      <c r="N56" s="100"/>
      <c r="O56" s="100"/>
      <c r="P56" s="96"/>
      <c r="Q56" s="96"/>
      <c r="R56" s="96"/>
      <c r="S56" s="96"/>
      <c r="T56" s="94"/>
      <c r="U56" s="94"/>
    </row>
    <row r="57" spans="1:21" ht="15" x14ac:dyDescent="0.25">
      <c r="A57" s="154"/>
      <c r="B57" s="154"/>
      <c r="C57" s="266"/>
      <c r="D57" s="267"/>
      <c r="E57" s="257"/>
      <c r="F57" s="268"/>
      <c r="G57" s="271" t="str">
        <f t="shared" si="0"/>
        <v/>
      </c>
      <c r="H57" s="269"/>
      <c r="I57" s="271" t="str">
        <f t="shared" si="1"/>
        <v/>
      </c>
      <c r="J57" s="270" t="s">
        <v>9</v>
      </c>
      <c r="K57" s="256" t="s">
        <v>194</v>
      </c>
      <c r="L57" s="100"/>
      <c r="M57" s="100"/>
      <c r="N57" s="100"/>
      <c r="O57" s="100"/>
      <c r="P57" s="96"/>
      <c r="Q57" s="96"/>
      <c r="R57" s="96"/>
      <c r="S57" s="96"/>
      <c r="T57" s="94"/>
      <c r="U57" s="94"/>
    </row>
    <row r="58" spans="1:21" ht="15" x14ac:dyDescent="0.25">
      <c r="A58" s="154"/>
      <c r="B58" s="154"/>
      <c r="C58" s="266"/>
      <c r="D58" s="267"/>
      <c r="E58" s="257"/>
      <c r="F58" s="268"/>
      <c r="G58" s="271" t="str">
        <f t="shared" si="0"/>
        <v/>
      </c>
      <c r="H58" s="269"/>
      <c r="I58" s="271" t="str">
        <f t="shared" si="1"/>
        <v/>
      </c>
      <c r="J58" s="270" t="s">
        <v>9</v>
      </c>
      <c r="K58" s="256" t="s">
        <v>194</v>
      </c>
      <c r="L58" s="155"/>
      <c r="M58" s="155"/>
      <c r="N58" s="155"/>
      <c r="O58" s="155"/>
      <c r="P58" s="96"/>
      <c r="Q58" s="96"/>
      <c r="R58" s="96"/>
      <c r="S58" s="96"/>
      <c r="T58" s="94"/>
      <c r="U58" s="94"/>
    </row>
    <row r="59" spans="1:21" ht="15" x14ac:dyDescent="0.25">
      <c r="A59" s="154"/>
      <c r="B59" s="154"/>
      <c r="C59" s="266"/>
      <c r="D59" s="267"/>
      <c r="E59" s="257"/>
      <c r="F59" s="268"/>
      <c r="G59" s="271" t="str">
        <f t="shared" si="0"/>
        <v/>
      </c>
      <c r="H59" s="269"/>
      <c r="I59" s="271" t="str">
        <f t="shared" si="1"/>
        <v/>
      </c>
      <c r="J59" s="270" t="s">
        <v>9</v>
      </c>
      <c r="K59" s="256" t="s">
        <v>194</v>
      </c>
      <c r="L59" s="100"/>
      <c r="M59" s="100"/>
      <c r="N59" s="100"/>
      <c r="O59" s="100"/>
      <c r="P59" s="96"/>
      <c r="Q59" s="96"/>
      <c r="R59" s="96"/>
      <c r="S59" s="96"/>
      <c r="T59" s="94"/>
      <c r="U59" s="94"/>
    </row>
    <row r="60" spans="1:21" ht="15" x14ac:dyDescent="0.25">
      <c r="A60" s="154"/>
      <c r="B60" s="154"/>
      <c r="C60" s="266"/>
      <c r="D60" s="267"/>
      <c r="E60" s="257"/>
      <c r="F60" s="268"/>
      <c r="G60" s="271" t="str">
        <f t="shared" si="0"/>
        <v/>
      </c>
      <c r="H60" s="269"/>
      <c r="I60" s="271" t="str">
        <f t="shared" si="1"/>
        <v/>
      </c>
      <c r="J60" s="270" t="s">
        <v>9</v>
      </c>
      <c r="K60" s="256" t="s">
        <v>194</v>
      </c>
      <c r="L60" s="100"/>
      <c r="M60" s="100"/>
      <c r="N60" s="100"/>
      <c r="O60" s="100"/>
      <c r="P60" s="96"/>
      <c r="Q60" s="96"/>
      <c r="R60" s="96"/>
      <c r="S60" s="96"/>
      <c r="T60" s="94"/>
      <c r="U60" s="94"/>
    </row>
    <row r="61" spans="1:21" ht="15" x14ac:dyDescent="0.25">
      <c r="A61" s="154"/>
      <c r="B61" s="154"/>
      <c r="C61" s="266"/>
      <c r="D61" s="267"/>
      <c r="E61" s="257"/>
      <c r="F61" s="268"/>
      <c r="G61" s="271" t="str">
        <f t="shared" si="0"/>
        <v/>
      </c>
      <c r="H61" s="269"/>
      <c r="I61" s="271" t="str">
        <f t="shared" si="1"/>
        <v/>
      </c>
      <c r="J61" s="270" t="s">
        <v>9</v>
      </c>
      <c r="K61" s="256" t="s">
        <v>194</v>
      </c>
      <c r="L61" s="155"/>
      <c r="M61" s="155"/>
      <c r="N61" s="155"/>
      <c r="O61" s="155"/>
      <c r="P61" s="96"/>
      <c r="Q61" s="96"/>
      <c r="R61" s="96"/>
      <c r="S61" s="96"/>
      <c r="T61" s="94"/>
      <c r="U61" s="94"/>
    </row>
    <row r="62" spans="1:21" ht="15" x14ac:dyDescent="0.25">
      <c r="A62" s="154"/>
      <c r="B62" s="154"/>
      <c r="C62" s="266"/>
      <c r="D62" s="267"/>
      <c r="E62" s="257"/>
      <c r="F62" s="268"/>
      <c r="G62" s="271" t="str">
        <f t="shared" si="0"/>
        <v/>
      </c>
      <c r="H62" s="269"/>
      <c r="I62" s="271" t="str">
        <f t="shared" si="1"/>
        <v/>
      </c>
      <c r="J62" s="270" t="s">
        <v>9</v>
      </c>
      <c r="K62" s="256" t="s">
        <v>194</v>
      </c>
      <c r="L62" s="100"/>
      <c r="M62" s="100"/>
      <c r="N62" s="100"/>
      <c r="O62" s="100"/>
      <c r="P62" s="96"/>
      <c r="Q62" s="96"/>
      <c r="R62" s="96"/>
      <c r="S62" s="96"/>
      <c r="T62" s="94"/>
      <c r="U62" s="94"/>
    </row>
    <row r="63" spans="1:21" ht="15" x14ac:dyDescent="0.25">
      <c r="A63" s="154"/>
      <c r="B63" s="154"/>
      <c r="C63" s="266"/>
      <c r="D63" s="267"/>
      <c r="E63" s="257"/>
      <c r="F63" s="268"/>
      <c r="G63" s="271" t="str">
        <f t="shared" si="0"/>
        <v/>
      </c>
      <c r="H63" s="269"/>
      <c r="I63" s="271" t="str">
        <f t="shared" si="1"/>
        <v/>
      </c>
      <c r="J63" s="270" t="s">
        <v>9</v>
      </c>
      <c r="K63" s="256" t="s">
        <v>194</v>
      </c>
      <c r="L63" s="100"/>
      <c r="M63" s="100"/>
      <c r="N63" s="100"/>
      <c r="O63" s="100"/>
      <c r="P63" s="96"/>
      <c r="Q63" s="96"/>
      <c r="R63" s="96"/>
      <c r="S63" s="96"/>
      <c r="T63" s="94"/>
      <c r="U63" s="94"/>
    </row>
    <row r="64" spans="1:21" ht="15" x14ac:dyDescent="0.25">
      <c r="A64" s="154"/>
      <c r="B64" s="154"/>
      <c r="C64" s="266"/>
      <c r="D64" s="267"/>
      <c r="E64" s="257"/>
      <c r="F64" s="268"/>
      <c r="G64" s="271" t="str">
        <f t="shared" si="0"/>
        <v/>
      </c>
      <c r="H64" s="269"/>
      <c r="I64" s="271" t="str">
        <f t="shared" si="1"/>
        <v/>
      </c>
      <c r="J64" s="270" t="s">
        <v>9</v>
      </c>
      <c r="K64" s="256" t="s">
        <v>194</v>
      </c>
      <c r="L64" s="155"/>
      <c r="M64" s="155"/>
      <c r="N64" s="155"/>
      <c r="O64" s="155"/>
      <c r="P64" s="96"/>
      <c r="Q64" s="96"/>
      <c r="R64" s="96"/>
      <c r="S64" s="96"/>
      <c r="T64" s="94"/>
      <c r="U64" s="94"/>
    </row>
    <row r="65" spans="1:21" ht="15" x14ac:dyDescent="0.25">
      <c r="A65" s="154"/>
      <c r="B65" s="154"/>
      <c r="C65" s="266"/>
      <c r="D65" s="267"/>
      <c r="E65" s="257"/>
      <c r="F65" s="268"/>
      <c r="G65" s="271" t="str">
        <f t="shared" si="0"/>
        <v/>
      </c>
      <c r="H65" s="269"/>
      <c r="I65" s="271" t="str">
        <f t="shared" si="1"/>
        <v/>
      </c>
      <c r="J65" s="270" t="s">
        <v>9</v>
      </c>
      <c r="K65" s="256" t="s">
        <v>194</v>
      </c>
      <c r="L65" s="100"/>
      <c r="M65" s="100"/>
      <c r="N65" s="100"/>
      <c r="O65" s="100"/>
      <c r="P65" s="96"/>
      <c r="Q65" s="96"/>
      <c r="R65" s="96"/>
      <c r="S65" s="96"/>
      <c r="T65" s="94"/>
      <c r="U65" s="94"/>
    </row>
    <row r="66" spans="1:21" ht="15" x14ac:dyDescent="0.25">
      <c r="A66" s="154"/>
      <c r="B66" s="154"/>
      <c r="C66" s="266"/>
      <c r="D66" s="267"/>
      <c r="E66" s="257"/>
      <c r="F66" s="268"/>
      <c r="G66" s="271" t="str">
        <f t="shared" si="0"/>
        <v/>
      </c>
      <c r="H66" s="269"/>
      <c r="I66" s="271" t="str">
        <f t="shared" si="1"/>
        <v/>
      </c>
      <c r="J66" s="270" t="s">
        <v>9</v>
      </c>
      <c r="K66" s="256" t="s">
        <v>194</v>
      </c>
      <c r="L66" s="100"/>
      <c r="M66" s="100"/>
      <c r="N66" s="100"/>
      <c r="O66" s="100"/>
      <c r="P66" s="96"/>
      <c r="Q66" s="96"/>
      <c r="R66" s="96"/>
      <c r="S66" s="96"/>
      <c r="T66" s="94"/>
      <c r="U66" s="94"/>
    </row>
    <row r="67" spans="1:21" ht="15" x14ac:dyDescent="0.25">
      <c r="A67" s="154"/>
      <c r="B67" s="154"/>
      <c r="C67" s="266"/>
      <c r="D67" s="267"/>
      <c r="E67" s="257"/>
      <c r="F67" s="268"/>
      <c r="G67" s="271" t="str">
        <f t="shared" si="0"/>
        <v/>
      </c>
      <c r="H67" s="269"/>
      <c r="I67" s="271" t="str">
        <f t="shared" si="1"/>
        <v/>
      </c>
      <c r="J67" s="270" t="s">
        <v>9</v>
      </c>
      <c r="K67" s="256" t="s">
        <v>194</v>
      </c>
      <c r="L67" s="155"/>
      <c r="M67" s="155"/>
      <c r="N67" s="155"/>
      <c r="O67" s="155"/>
      <c r="P67" s="96"/>
      <c r="Q67" s="96"/>
      <c r="R67" s="96"/>
      <c r="S67" s="96"/>
      <c r="T67" s="94"/>
      <c r="U67" s="94"/>
    </row>
    <row r="68" spans="1:21" ht="15" x14ac:dyDescent="0.25">
      <c r="A68" s="154"/>
      <c r="B68" s="154"/>
      <c r="C68" s="266"/>
      <c r="D68" s="267"/>
      <c r="E68" s="257"/>
      <c r="F68" s="268"/>
      <c r="G68" s="271" t="str">
        <f t="shared" si="0"/>
        <v/>
      </c>
      <c r="H68" s="269"/>
      <c r="I68" s="271" t="str">
        <f t="shared" si="1"/>
        <v/>
      </c>
      <c r="J68" s="270" t="s">
        <v>9</v>
      </c>
      <c r="K68" s="256" t="s">
        <v>194</v>
      </c>
      <c r="L68" s="100"/>
      <c r="M68" s="100"/>
      <c r="N68" s="100"/>
      <c r="O68" s="100"/>
      <c r="P68" s="96"/>
      <c r="Q68" s="96"/>
      <c r="R68" s="96"/>
      <c r="S68" s="96"/>
      <c r="T68" s="94"/>
      <c r="U68" s="94"/>
    </row>
    <row r="69" spans="1:21" ht="15" x14ac:dyDescent="0.25">
      <c r="A69" s="154"/>
      <c r="B69" s="154"/>
      <c r="C69" s="266"/>
      <c r="D69" s="267"/>
      <c r="E69" s="257"/>
      <c r="F69" s="268"/>
      <c r="G69" s="271" t="str">
        <f t="shared" si="0"/>
        <v/>
      </c>
      <c r="H69" s="269"/>
      <c r="I69" s="271" t="str">
        <f t="shared" si="1"/>
        <v/>
      </c>
      <c r="J69" s="270" t="s">
        <v>9</v>
      </c>
      <c r="K69" s="256" t="s">
        <v>194</v>
      </c>
      <c r="L69" s="100"/>
      <c r="M69" s="100"/>
      <c r="N69" s="100"/>
      <c r="O69" s="100"/>
      <c r="P69" s="96"/>
      <c r="Q69" s="96"/>
      <c r="R69" s="96"/>
      <c r="S69" s="96"/>
      <c r="T69" s="94"/>
      <c r="U69" s="94"/>
    </row>
    <row r="70" spans="1:21" ht="15" x14ac:dyDescent="0.25">
      <c r="A70" s="154"/>
      <c r="B70" s="154"/>
      <c r="C70" s="266"/>
      <c r="D70" s="267"/>
      <c r="E70" s="257"/>
      <c r="F70" s="268"/>
      <c r="G70" s="271" t="str">
        <f t="shared" si="0"/>
        <v/>
      </c>
      <c r="H70" s="269"/>
      <c r="I70" s="271" t="str">
        <f t="shared" si="1"/>
        <v/>
      </c>
      <c r="J70" s="270" t="s">
        <v>9</v>
      </c>
      <c r="K70" s="256" t="s">
        <v>194</v>
      </c>
      <c r="L70" s="155"/>
      <c r="M70" s="155"/>
      <c r="N70" s="155"/>
      <c r="O70" s="155"/>
      <c r="P70" s="96"/>
      <c r="Q70" s="96"/>
      <c r="R70" s="96"/>
      <c r="S70" s="96"/>
      <c r="T70" s="94"/>
      <c r="U70" s="94"/>
    </row>
    <row r="71" spans="1:21" ht="15" x14ac:dyDescent="0.25">
      <c r="A71" s="154"/>
      <c r="B71" s="154"/>
      <c r="C71" s="266"/>
      <c r="D71" s="267"/>
      <c r="E71" s="257"/>
      <c r="F71" s="268"/>
      <c r="G71" s="271" t="str">
        <f t="shared" si="0"/>
        <v/>
      </c>
      <c r="H71" s="269"/>
      <c r="I71" s="271" t="str">
        <f t="shared" si="1"/>
        <v/>
      </c>
      <c r="J71" s="270" t="s">
        <v>9</v>
      </c>
      <c r="K71" s="256" t="s">
        <v>194</v>
      </c>
      <c r="L71" s="100"/>
      <c r="M71" s="100"/>
      <c r="N71" s="100"/>
      <c r="O71" s="100"/>
      <c r="P71" s="96"/>
      <c r="Q71" s="96"/>
      <c r="R71" s="96"/>
      <c r="S71" s="96"/>
      <c r="T71" s="94"/>
      <c r="U71" s="94"/>
    </row>
    <row r="72" spans="1:21" ht="15" x14ac:dyDescent="0.25">
      <c r="A72" s="154"/>
      <c r="B72" s="154"/>
      <c r="C72" s="266"/>
      <c r="D72" s="267"/>
      <c r="E72" s="257"/>
      <c r="F72" s="268"/>
      <c r="G72" s="271" t="str">
        <f t="shared" si="0"/>
        <v/>
      </c>
      <c r="H72" s="269"/>
      <c r="I72" s="271" t="str">
        <f t="shared" si="1"/>
        <v/>
      </c>
      <c r="J72" s="270" t="s">
        <v>9</v>
      </c>
      <c r="K72" s="256" t="s">
        <v>194</v>
      </c>
      <c r="L72" s="100"/>
      <c r="M72" s="100"/>
      <c r="N72" s="100"/>
      <c r="O72" s="100"/>
      <c r="P72" s="96"/>
      <c r="Q72" s="96"/>
      <c r="R72" s="96"/>
      <c r="S72" s="96"/>
      <c r="T72" s="94"/>
      <c r="U72" s="94"/>
    </row>
    <row r="73" spans="1:21" ht="15" x14ac:dyDescent="0.25">
      <c r="A73" s="154"/>
      <c r="B73" s="154"/>
      <c r="C73" s="266"/>
      <c r="D73" s="267"/>
      <c r="E73" s="257"/>
      <c r="F73" s="268"/>
      <c r="G73" s="271" t="str">
        <f t="shared" si="0"/>
        <v/>
      </c>
      <c r="H73" s="269"/>
      <c r="I73" s="271" t="str">
        <f t="shared" si="1"/>
        <v/>
      </c>
      <c r="J73" s="270" t="s">
        <v>9</v>
      </c>
      <c r="K73" s="256" t="s">
        <v>194</v>
      </c>
      <c r="L73" s="155"/>
      <c r="M73" s="155"/>
      <c r="N73" s="155"/>
      <c r="O73" s="155"/>
      <c r="P73" s="96"/>
      <c r="Q73" s="96"/>
      <c r="R73" s="96"/>
      <c r="S73" s="96"/>
      <c r="T73" s="94"/>
      <c r="U73" s="94"/>
    </row>
    <row r="74" spans="1:21" ht="15" x14ac:dyDescent="0.25">
      <c r="A74" s="154"/>
      <c r="B74" s="154"/>
      <c r="C74" s="266"/>
      <c r="D74" s="267"/>
      <c r="E74" s="257"/>
      <c r="F74" s="268"/>
      <c r="G74" s="271" t="str">
        <f t="shared" si="0"/>
        <v/>
      </c>
      <c r="H74" s="269"/>
      <c r="I74" s="271" t="str">
        <f t="shared" si="1"/>
        <v/>
      </c>
      <c r="J74" s="270" t="s">
        <v>9</v>
      </c>
      <c r="K74" s="256" t="s">
        <v>194</v>
      </c>
      <c r="L74" s="100"/>
      <c r="M74" s="100"/>
      <c r="N74" s="100"/>
      <c r="O74" s="100"/>
      <c r="P74" s="96"/>
      <c r="Q74" s="96"/>
      <c r="R74" s="96"/>
      <c r="S74" s="96"/>
      <c r="T74" s="94"/>
      <c r="U74" s="94"/>
    </row>
    <row r="75" spans="1:21" ht="15" x14ac:dyDescent="0.25">
      <c r="A75" s="154"/>
      <c r="B75" s="154"/>
      <c r="C75" s="266"/>
      <c r="D75" s="267"/>
      <c r="E75" s="257"/>
      <c r="F75" s="268"/>
      <c r="G75" s="271" t="str">
        <f t="shared" si="0"/>
        <v/>
      </c>
      <c r="H75" s="269"/>
      <c r="I75" s="271" t="str">
        <f t="shared" si="1"/>
        <v/>
      </c>
      <c r="J75" s="270" t="s">
        <v>9</v>
      </c>
      <c r="K75" s="256" t="s">
        <v>194</v>
      </c>
      <c r="L75" s="100"/>
      <c r="M75" s="100"/>
      <c r="N75" s="100"/>
      <c r="O75" s="100"/>
      <c r="P75" s="96"/>
      <c r="Q75" s="96"/>
      <c r="R75" s="96"/>
      <c r="S75" s="96"/>
      <c r="T75" s="94"/>
      <c r="U75" s="94"/>
    </row>
    <row r="76" spans="1:21" ht="15" x14ac:dyDescent="0.25">
      <c r="A76" s="154"/>
      <c r="B76" s="154"/>
      <c r="C76" s="266"/>
      <c r="D76" s="267"/>
      <c r="E76" s="257"/>
      <c r="F76" s="268"/>
      <c r="G76" s="271" t="str">
        <f t="shared" si="0"/>
        <v/>
      </c>
      <c r="H76" s="269"/>
      <c r="I76" s="271" t="str">
        <f t="shared" si="1"/>
        <v/>
      </c>
      <c r="J76" s="270" t="s">
        <v>9</v>
      </c>
      <c r="K76" s="256" t="s">
        <v>194</v>
      </c>
      <c r="L76" s="155"/>
      <c r="M76" s="155"/>
      <c r="N76" s="155"/>
      <c r="O76" s="155"/>
      <c r="P76" s="96"/>
      <c r="Q76" s="96"/>
      <c r="R76" s="96"/>
      <c r="S76" s="96"/>
      <c r="T76" s="94"/>
      <c r="U76" s="94"/>
    </row>
    <row r="77" spans="1:21" ht="15" x14ac:dyDescent="0.25">
      <c r="A77" s="154"/>
      <c r="B77" s="154"/>
      <c r="C77" s="266"/>
      <c r="D77" s="267"/>
      <c r="E77" s="257"/>
      <c r="F77" s="268"/>
      <c r="G77" s="271" t="str">
        <f t="shared" ref="G77:G140" si="2">IF(F77/par_TS_brutto&lt;&gt;0,ROUND(F77/par_TS_brutto,4),"")</f>
        <v/>
      </c>
      <c r="H77" s="269"/>
      <c r="I77" s="271" t="str">
        <f t="shared" si="1"/>
        <v/>
      </c>
      <c r="J77" s="270" t="s">
        <v>9</v>
      </c>
      <c r="K77" s="256" t="s">
        <v>194</v>
      </c>
      <c r="L77" s="100"/>
      <c r="M77" s="100"/>
      <c r="N77" s="100"/>
      <c r="O77" s="100"/>
      <c r="P77" s="96"/>
      <c r="Q77" s="96"/>
      <c r="R77" s="96"/>
      <c r="S77" s="96"/>
      <c r="T77" s="94"/>
      <c r="U77" s="94"/>
    </row>
    <row r="78" spans="1:21" ht="15" x14ac:dyDescent="0.25">
      <c r="A78" s="154"/>
      <c r="B78" s="154"/>
      <c r="C78" s="266"/>
      <c r="D78" s="267"/>
      <c r="E78" s="257"/>
      <c r="F78" s="268"/>
      <c r="G78" s="271" t="str">
        <f t="shared" si="2"/>
        <v/>
      </c>
      <c r="H78" s="269"/>
      <c r="I78" s="271" t="str">
        <f t="shared" ref="I78:I141" si="3">IFERROR(ROUND(F78/H78,4),"")</f>
        <v/>
      </c>
      <c r="J78" s="270" t="s">
        <v>9</v>
      </c>
      <c r="K78" s="256" t="s">
        <v>194</v>
      </c>
      <c r="L78" s="100"/>
      <c r="M78" s="100"/>
      <c r="N78" s="100"/>
      <c r="O78" s="100"/>
      <c r="P78" s="96"/>
      <c r="Q78" s="96"/>
      <c r="R78" s="96"/>
      <c r="S78" s="96"/>
      <c r="T78" s="94"/>
      <c r="U78" s="94"/>
    </row>
    <row r="79" spans="1:21" ht="15" x14ac:dyDescent="0.25">
      <c r="A79" s="154"/>
      <c r="B79" s="154"/>
      <c r="C79" s="266"/>
      <c r="D79" s="267"/>
      <c r="E79" s="257"/>
      <c r="F79" s="268"/>
      <c r="G79" s="271" t="str">
        <f t="shared" si="2"/>
        <v/>
      </c>
      <c r="H79" s="269"/>
      <c r="I79" s="271" t="str">
        <f t="shared" si="3"/>
        <v/>
      </c>
      <c r="J79" s="270" t="s">
        <v>9</v>
      </c>
      <c r="K79" s="256" t="s">
        <v>194</v>
      </c>
      <c r="L79" s="155"/>
      <c r="M79" s="155"/>
      <c r="N79" s="155"/>
      <c r="O79" s="155"/>
      <c r="P79" s="96"/>
      <c r="Q79" s="96"/>
      <c r="R79" s="96"/>
      <c r="S79" s="96"/>
      <c r="T79" s="94"/>
      <c r="U79" s="94"/>
    </row>
    <row r="80" spans="1:21" ht="15" x14ac:dyDescent="0.25">
      <c r="A80" s="154"/>
      <c r="B80" s="154"/>
      <c r="C80" s="266"/>
      <c r="D80" s="267"/>
      <c r="E80" s="257"/>
      <c r="F80" s="268"/>
      <c r="G80" s="271" t="str">
        <f t="shared" si="2"/>
        <v/>
      </c>
      <c r="H80" s="269"/>
      <c r="I80" s="271" t="str">
        <f t="shared" si="3"/>
        <v/>
      </c>
      <c r="J80" s="270" t="s">
        <v>9</v>
      </c>
      <c r="K80" s="256" t="s">
        <v>194</v>
      </c>
      <c r="L80" s="100"/>
      <c r="M80" s="100"/>
      <c r="N80" s="100"/>
      <c r="O80" s="100"/>
      <c r="P80" s="96"/>
      <c r="Q80" s="96"/>
      <c r="R80" s="96"/>
      <c r="S80" s="96"/>
      <c r="T80" s="94"/>
      <c r="U80" s="94"/>
    </row>
    <row r="81" spans="1:21" ht="15" x14ac:dyDescent="0.25">
      <c r="A81" s="154"/>
      <c r="B81" s="154"/>
      <c r="C81" s="266"/>
      <c r="D81" s="267"/>
      <c r="E81" s="257"/>
      <c r="F81" s="268"/>
      <c r="G81" s="271" t="str">
        <f t="shared" si="2"/>
        <v/>
      </c>
      <c r="H81" s="269"/>
      <c r="I81" s="271" t="str">
        <f t="shared" si="3"/>
        <v/>
      </c>
      <c r="J81" s="270" t="s">
        <v>9</v>
      </c>
      <c r="K81" s="256" t="s">
        <v>194</v>
      </c>
      <c r="L81" s="100"/>
      <c r="M81" s="100"/>
      <c r="N81" s="100"/>
      <c r="O81" s="100"/>
      <c r="P81" s="96"/>
      <c r="Q81" s="96"/>
      <c r="R81" s="96"/>
      <c r="S81" s="96"/>
      <c r="T81" s="94"/>
      <c r="U81" s="94"/>
    </row>
    <row r="82" spans="1:21" ht="15" x14ac:dyDescent="0.25">
      <c r="A82" s="154"/>
      <c r="B82" s="154"/>
      <c r="C82" s="266"/>
      <c r="D82" s="267"/>
      <c r="E82" s="257"/>
      <c r="F82" s="268"/>
      <c r="G82" s="271" t="str">
        <f t="shared" si="2"/>
        <v/>
      </c>
      <c r="H82" s="269"/>
      <c r="I82" s="271" t="str">
        <f t="shared" si="3"/>
        <v/>
      </c>
      <c r="J82" s="270" t="s">
        <v>9</v>
      </c>
      <c r="K82" s="256" t="s">
        <v>194</v>
      </c>
      <c r="L82" s="155"/>
      <c r="M82" s="155"/>
      <c r="N82" s="155"/>
      <c r="O82" s="155"/>
      <c r="P82" s="96"/>
      <c r="Q82" s="96"/>
      <c r="R82" s="96"/>
      <c r="S82" s="96"/>
      <c r="T82" s="94"/>
      <c r="U82" s="94"/>
    </row>
    <row r="83" spans="1:21" ht="15" x14ac:dyDescent="0.25">
      <c r="A83" s="154"/>
      <c r="B83" s="154"/>
      <c r="C83" s="266"/>
      <c r="D83" s="267"/>
      <c r="E83" s="257"/>
      <c r="F83" s="268"/>
      <c r="G83" s="271" t="str">
        <f t="shared" si="2"/>
        <v/>
      </c>
      <c r="H83" s="269"/>
      <c r="I83" s="271" t="str">
        <f t="shared" si="3"/>
        <v/>
      </c>
      <c r="J83" s="270" t="s">
        <v>9</v>
      </c>
      <c r="K83" s="256" t="s">
        <v>194</v>
      </c>
      <c r="L83" s="100"/>
      <c r="M83" s="100"/>
      <c r="N83" s="100"/>
      <c r="O83" s="100"/>
      <c r="P83" s="96"/>
      <c r="Q83" s="96"/>
      <c r="R83" s="96"/>
      <c r="S83" s="96"/>
      <c r="T83" s="94"/>
      <c r="U83" s="94"/>
    </row>
    <row r="84" spans="1:21" ht="15" x14ac:dyDescent="0.25">
      <c r="A84" s="154"/>
      <c r="B84" s="154"/>
      <c r="C84" s="266"/>
      <c r="D84" s="267"/>
      <c r="E84" s="257"/>
      <c r="F84" s="268"/>
      <c r="G84" s="271" t="str">
        <f t="shared" si="2"/>
        <v/>
      </c>
      <c r="H84" s="269"/>
      <c r="I84" s="271" t="str">
        <f t="shared" si="3"/>
        <v/>
      </c>
      <c r="J84" s="270" t="s">
        <v>9</v>
      </c>
      <c r="K84" s="256" t="s">
        <v>194</v>
      </c>
      <c r="L84" s="100"/>
      <c r="M84" s="100"/>
      <c r="N84" s="100"/>
      <c r="O84" s="100"/>
      <c r="P84" s="96"/>
      <c r="Q84" s="96"/>
      <c r="R84" s="96"/>
      <c r="S84" s="96"/>
      <c r="T84" s="94"/>
      <c r="U84" s="94"/>
    </row>
    <row r="85" spans="1:21" ht="15" x14ac:dyDescent="0.25">
      <c r="A85" s="154"/>
      <c r="B85" s="154"/>
      <c r="C85" s="266"/>
      <c r="D85" s="267"/>
      <c r="E85" s="257"/>
      <c r="F85" s="268"/>
      <c r="G85" s="271" t="str">
        <f t="shared" si="2"/>
        <v/>
      </c>
      <c r="H85" s="269"/>
      <c r="I85" s="271" t="str">
        <f t="shared" si="3"/>
        <v/>
      </c>
      <c r="J85" s="270" t="s">
        <v>9</v>
      </c>
      <c r="K85" s="256" t="s">
        <v>194</v>
      </c>
      <c r="L85" s="155"/>
      <c r="M85" s="155"/>
      <c r="N85" s="155"/>
      <c r="O85" s="155"/>
      <c r="P85" s="96"/>
      <c r="Q85" s="96"/>
      <c r="R85" s="96"/>
      <c r="S85" s="96"/>
      <c r="T85" s="94"/>
      <c r="U85" s="94"/>
    </row>
    <row r="86" spans="1:21" ht="15" x14ac:dyDescent="0.25">
      <c r="A86" s="154"/>
      <c r="B86" s="154"/>
      <c r="C86" s="266"/>
      <c r="D86" s="267"/>
      <c r="E86" s="257"/>
      <c r="F86" s="268"/>
      <c r="G86" s="271" t="str">
        <f t="shared" si="2"/>
        <v/>
      </c>
      <c r="H86" s="269"/>
      <c r="I86" s="271" t="str">
        <f t="shared" si="3"/>
        <v/>
      </c>
      <c r="J86" s="270" t="s">
        <v>9</v>
      </c>
      <c r="K86" s="256" t="s">
        <v>194</v>
      </c>
      <c r="L86" s="100"/>
      <c r="M86" s="100"/>
      <c r="N86" s="100"/>
      <c r="O86" s="100"/>
      <c r="P86" s="96"/>
      <c r="Q86" s="96"/>
      <c r="R86" s="96"/>
      <c r="S86" s="96"/>
      <c r="T86" s="94"/>
      <c r="U86" s="94"/>
    </row>
    <row r="87" spans="1:21" ht="15" x14ac:dyDescent="0.25">
      <c r="A87" s="154"/>
      <c r="B87" s="154"/>
      <c r="C87" s="266"/>
      <c r="D87" s="267"/>
      <c r="E87" s="257"/>
      <c r="F87" s="268"/>
      <c r="G87" s="271" t="str">
        <f t="shared" si="2"/>
        <v/>
      </c>
      <c r="H87" s="269"/>
      <c r="I87" s="271" t="str">
        <f t="shared" si="3"/>
        <v/>
      </c>
      <c r="J87" s="270" t="s">
        <v>9</v>
      </c>
      <c r="K87" s="256" t="s">
        <v>194</v>
      </c>
      <c r="L87" s="100"/>
      <c r="M87" s="100"/>
      <c r="N87" s="100"/>
      <c r="O87" s="100"/>
      <c r="P87" s="96"/>
      <c r="Q87" s="96"/>
      <c r="R87" s="96"/>
      <c r="S87" s="96"/>
      <c r="T87" s="94"/>
      <c r="U87" s="94"/>
    </row>
    <row r="88" spans="1:21" ht="15" x14ac:dyDescent="0.25">
      <c r="A88" s="154"/>
      <c r="B88" s="154"/>
      <c r="C88" s="266"/>
      <c r="D88" s="267"/>
      <c r="E88" s="257"/>
      <c r="F88" s="268"/>
      <c r="G88" s="271" t="str">
        <f t="shared" si="2"/>
        <v/>
      </c>
      <c r="H88" s="269"/>
      <c r="I88" s="271" t="str">
        <f t="shared" si="3"/>
        <v/>
      </c>
      <c r="J88" s="270" t="s">
        <v>9</v>
      </c>
      <c r="K88" s="256" t="s">
        <v>194</v>
      </c>
      <c r="L88" s="155"/>
      <c r="M88" s="155"/>
      <c r="N88" s="155"/>
      <c r="O88" s="155"/>
      <c r="P88" s="96"/>
      <c r="Q88" s="96"/>
      <c r="R88" s="96"/>
      <c r="S88" s="96"/>
      <c r="T88" s="94"/>
      <c r="U88" s="94"/>
    </row>
    <row r="89" spans="1:21" ht="15" x14ac:dyDescent="0.25">
      <c r="A89" s="154"/>
      <c r="B89" s="154"/>
      <c r="C89" s="266"/>
      <c r="D89" s="267"/>
      <c r="E89" s="257"/>
      <c r="F89" s="268"/>
      <c r="G89" s="271" t="str">
        <f t="shared" si="2"/>
        <v/>
      </c>
      <c r="H89" s="269"/>
      <c r="I89" s="271" t="str">
        <f t="shared" si="3"/>
        <v/>
      </c>
      <c r="J89" s="270" t="s">
        <v>9</v>
      </c>
      <c r="K89" s="256" t="s">
        <v>194</v>
      </c>
      <c r="L89" s="100"/>
      <c r="M89" s="100"/>
      <c r="N89" s="100"/>
      <c r="O89" s="100"/>
      <c r="P89" s="96"/>
      <c r="Q89" s="96"/>
      <c r="R89" s="96"/>
      <c r="S89" s="96"/>
      <c r="T89" s="94"/>
      <c r="U89" s="94"/>
    </row>
    <row r="90" spans="1:21" ht="15" x14ac:dyDescent="0.25">
      <c r="A90" s="154"/>
      <c r="B90" s="154"/>
      <c r="C90" s="266"/>
      <c r="D90" s="267"/>
      <c r="E90" s="257"/>
      <c r="F90" s="268"/>
      <c r="G90" s="271" t="str">
        <f t="shared" si="2"/>
        <v/>
      </c>
      <c r="H90" s="269"/>
      <c r="I90" s="271" t="str">
        <f t="shared" si="3"/>
        <v/>
      </c>
      <c r="J90" s="270" t="s">
        <v>9</v>
      </c>
      <c r="K90" s="256" t="s">
        <v>194</v>
      </c>
      <c r="L90" s="100"/>
      <c r="M90" s="100"/>
      <c r="N90" s="100"/>
      <c r="O90" s="100"/>
      <c r="P90" s="96"/>
      <c r="Q90" s="96"/>
      <c r="R90" s="96"/>
      <c r="S90" s="96"/>
      <c r="T90" s="94"/>
      <c r="U90" s="94"/>
    </row>
    <row r="91" spans="1:21" ht="15" x14ac:dyDescent="0.25">
      <c r="A91" s="154"/>
      <c r="B91" s="154"/>
      <c r="C91" s="266"/>
      <c r="D91" s="267"/>
      <c r="E91" s="257"/>
      <c r="F91" s="268"/>
      <c r="G91" s="271" t="str">
        <f t="shared" si="2"/>
        <v/>
      </c>
      <c r="H91" s="269"/>
      <c r="I91" s="271" t="str">
        <f t="shared" si="3"/>
        <v/>
      </c>
      <c r="J91" s="270" t="s">
        <v>9</v>
      </c>
      <c r="K91" s="256" t="s">
        <v>194</v>
      </c>
      <c r="L91" s="155"/>
      <c r="M91" s="155"/>
      <c r="N91" s="155"/>
      <c r="O91" s="155"/>
      <c r="P91" s="96"/>
      <c r="Q91" s="96"/>
      <c r="R91" s="96"/>
      <c r="S91" s="96"/>
      <c r="T91" s="94"/>
      <c r="U91" s="94"/>
    </row>
    <row r="92" spans="1:21" ht="15" x14ac:dyDescent="0.25">
      <c r="A92" s="154"/>
      <c r="B92" s="154"/>
      <c r="C92" s="266"/>
      <c r="D92" s="267"/>
      <c r="E92" s="257"/>
      <c r="F92" s="268"/>
      <c r="G92" s="271" t="str">
        <f t="shared" si="2"/>
        <v/>
      </c>
      <c r="H92" s="269"/>
      <c r="I92" s="271" t="str">
        <f t="shared" si="3"/>
        <v/>
      </c>
      <c r="J92" s="270" t="s">
        <v>9</v>
      </c>
      <c r="K92" s="256" t="s">
        <v>194</v>
      </c>
      <c r="L92" s="100"/>
      <c r="M92" s="100"/>
      <c r="N92" s="100"/>
      <c r="O92" s="100"/>
      <c r="P92" s="96"/>
      <c r="Q92" s="96"/>
      <c r="R92" s="96"/>
      <c r="S92" s="96"/>
      <c r="T92" s="94"/>
      <c r="U92" s="94"/>
    </row>
    <row r="93" spans="1:21" ht="15" x14ac:dyDescent="0.25">
      <c r="A93" s="154"/>
      <c r="B93" s="154"/>
      <c r="C93" s="266"/>
      <c r="D93" s="267"/>
      <c r="E93" s="257"/>
      <c r="F93" s="268"/>
      <c r="G93" s="271" t="str">
        <f t="shared" si="2"/>
        <v/>
      </c>
      <c r="H93" s="269"/>
      <c r="I93" s="271" t="str">
        <f t="shared" si="3"/>
        <v/>
      </c>
      <c r="J93" s="270" t="s">
        <v>9</v>
      </c>
      <c r="K93" s="256" t="s">
        <v>194</v>
      </c>
      <c r="L93" s="100"/>
      <c r="M93" s="100"/>
      <c r="N93" s="100"/>
      <c r="O93" s="100"/>
      <c r="P93" s="96"/>
      <c r="Q93" s="96"/>
      <c r="R93" s="96"/>
      <c r="S93" s="96"/>
      <c r="T93" s="94"/>
      <c r="U93" s="94"/>
    </row>
    <row r="94" spans="1:21" ht="15" x14ac:dyDescent="0.25">
      <c r="A94" s="154"/>
      <c r="B94" s="154"/>
      <c r="C94" s="266"/>
      <c r="D94" s="267"/>
      <c r="E94" s="257"/>
      <c r="F94" s="268"/>
      <c r="G94" s="271" t="str">
        <f t="shared" si="2"/>
        <v/>
      </c>
      <c r="H94" s="269"/>
      <c r="I94" s="271" t="str">
        <f t="shared" si="3"/>
        <v/>
      </c>
      <c r="J94" s="270" t="s">
        <v>9</v>
      </c>
      <c r="K94" s="256" t="s">
        <v>194</v>
      </c>
      <c r="L94" s="155"/>
      <c r="M94" s="155"/>
      <c r="N94" s="155"/>
      <c r="O94" s="155"/>
      <c r="P94" s="96"/>
      <c r="Q94" s="96"/>
      <c r="R94" s="96"/>
      <c r="S94" s="96"/>
      <c r="T94" s="94"/>
      <c r="U94" s="94"/>
    </row>
    <row r="95" spans="1:21" ht="15" x14ac:dyDescent="0.25">
      <c r="A95" s="154"/>
      <c r="B95" s="154"/>
      <c r="C95" s="266"/>
      <c r="D95" s="267"/>
      <c r="E95" s="257"/>
      <c r="F95" s="268"/>
      <c r="G95" s="271" t="str">
        <f t="shared" si="2"/>
        <v/>
      </c>
      <c r="H95" s="269"/>
      <c r="I95" s="271" t="str">
        <f t="shared" si="3"/>
        <v/>
      </c>
      <c r="J95" s="270" t="s">
        <v>9</v>
      </c>
      <c r="K95" s="256" t="s">
        <v>194</v>
      </c>
      <c r="L95" s="100"/>
      <c r="M95" s="100"/>
      <c r="N95" s="100"/>
      <c r="O95" s="100"/>
      <c r="P95" s="96"/>
      <c r="Q95" s="96"/>
      <c r="R95" s="96"/>
      <c r="S95" s="96"/>
      <c r="T95" s="94"/>
      <c r="U95" s="94"/>
    </row>
    <row r="96" spans="1:21" ht="15" x14ac:dyDescent="0.25">
      <c r="A96" s="154"/>
      <c r="B96" s="154"/>
      <c r="C96" s="266"/>
      <c r="D96" s="267"/>
      <c r="E96" s="257"/>
      <c r="F96" s="268"/>
      <c r="G96" s="271" t="str">
        <f t="shared" si="2"/>
        <v/>
      </c>
      <c r="H96" s="269"/>
      <c r="I96" s="271" t="str">
        <f t="shared" si="3"/>
        <v/>
      </c>
      <c r="J96" s="270" t="s">
        <v>9</v>
      </c>
      <c r="K96" s="256" t="s">
        <v>194</v>
      </c>
      <c r="L96" s="100"/>
      <c r="M96" s="100"/>
      <c r="N96" s="100"/>
      <c r="O96" s="100"/>
      <c r="P96" s="96"/>
      <c r="Q96" s="96"/>
      <c r="R96" s="96"/>
      <c r="S96" s="96"/>
      <c r="T96" s="94"/>
      <c r="U96" s="94"/>
    </row>
    <row r="97" spans="1:21" ht="15" x14ac:dyDescent="0.25">
      <c r="A97" s="154"/>
      <c r="B97" s="154"/>
      <c r="C97" s="266"/>
      <c r="D97" s="267"/>
      <c r="E97" s="257"/>
      <c r="F97" s="268"/>
      <c r="G97" s="271" t="str">
        <f t="shared" si="2"/>
        <v/>
      </c>
      <c r="H97" s="269"/>
      <c r="I97" s="271" t="str">
        <f t="shared" si="3"/>
        <v/>
      </c>
      <c r="J97" s="270" t="s">
        <v>9</v>
      </c>
      <c r="K97" s="256" t="s">
        <v>194</v>
      </c>
      <c r="L97" s="155"/>
      <c r="M97" s="155"/>
      <c r="N97" s="155"/>
      <c r="O97" s="155"/>
      <c r="P97" s="96"/>
      <c r="Q97" s="96"/>
      <c r="R97" s="96"/>
      <c r="S97" s="96"/>
      <c r="T97" s="94"/>
      <c r="U97" s="94"/>
    </row>
    <row r="98" spans="1:21" ht="15" x14ac:dyDescent="0.25">
      <c r="A98" s="154"/>
      <c r="B98" s="154"/>
      <c r="C98" s="266"/>
      <c r="D98" s="267"/>
      <c r="E98" s="257"/>
      <c r="F98" s="268"/>
      <c r="G98" s="271" t="str">
        <f t="shared" si="2"/>
        <v/>
      </c>
      <c r="H98" s="269"/>
      <c r="I98" s="271" t="str">
        <f t="shared" si="3"/>
        <v/>
      </c>
      <c r="J98" s="270" t="s">
        <v>9</v>
      </c>
      <c r="K98" s="256" t="s">
        <v>194</v>
      </c>
      <c r="L98" s="100"/>
      <c r="M98" s="100"/>
      <c r="N98" s="100"/>
      <c r="O98" s="100"/>
      <c r="P98" s="96"/>
      <c r="Q98" s="96"/>
      <c r="R98" s="96"/>
      <c r="S98" s="96"/>
      <c r="T98" s="94"/>
      <c r="U98" s="94"/>
    </row>
    <row r="99" spans="1:21" ht="15" x14ac:dyDescent="0.25">
      <c r="A99" s="154"/>
      <c r="B99" s="154"/>
      <c r="C99" s="266"/>
      <c r="D99" s="267"/>
      <c r="E99" s="257"/>
      <c r="F99" s="268"/>
      <c r="G99" s="271" t="str">
        <f t="shared" si="2"/>
        <v/>
      </c>
      <c r="H99" s="269"/>
      <c r="I99" s="271" t="str">
        <f t="shared" si="3"/>
        <v/>
      </c>
      <c r="J99" s="270" t="s">
        <v>9</v>
      </c>
      <c r="K99" s="256" t="s">
        <v>194</v>
      </c>
      <c r="L99" s="100"/>
      <c r="M99" s="100"/>
      <c r="N99" s="100"/>
      <c r="O99" s="100"/>
      <c r="P99" s="96"/>
      <c r="Q99" s="96"/>
      <c r="R99" s="96"/>
      <c r="S99" s="96"/>
      <c r="T99" s="94"/>
      <c r="U99" s="94"/>
    </row>
    <row r="100" spans="1:21" ht="15" x14ac:dyDescent="0.25">
      <c r="A100" s="154"/>
      <c r="B100" s="154"/>
      <c r="C100" s="266"/>
      <c r="D100" s="267"/>
      <c r="E100" s="257"/>
      <c r="F100" s="268"/>
      <c r="G100" s="271" t="str">
        <f t="shared" si="2"/>
        <v/>
      </c>
      <c r="H100" s="269"/>
      <c r="I100" s="271" t="str">
        <f t="shared" si="3"/>
        <v/>
      </c>
      <c r="J100" s="270" t="s">
        <v>9</v>
      </c>
      <c r="K100" s="256" t="s">
        <v>194</v>
      </c>
      <c r="L100" s="155"/>
      <c r="M100" s="155"/>
      <c r="N100" s="155"/>
      <c r="O100" s="155"/>
      <c r="P100" s="96"/>
      <c r="Q100" s="96"/>
      <c r="R100" s="96"/>
      <c r="S100" s="96"/>
      <c r="T100" s="94"/>
      <c r="U100" s="94"/>
    </row>
    <row r="101" spans="1:21" ht="15" x14ac:dyDescent="0.25">
      <c r="A101" s="154"/>
      <c r="B101" s="154"/>
      <c r="C101" s="266"/>
      <c r="D101" s="267"/>
      <c r="E101" s="257"/>
      <c r="F101" s="268"/>
      <c r="G101" s="271" t="str">
        <f t="shared" si="2"/>
        <v/>
      </c>
      <c r="H101" s="269"/>
      <c r="I101" s="271" t="str">
        <f t="shared" si="3"/>
        <v/>
      </c>
      <c r="J101" s="270" t="s">
        <v>9</v>
      </c>
      <c r="K101" s="256" t="s">
        <v>194</v>
      </c>
      <c r="L101" s="100"/>
      <c r="M101" s="100"/>
      <c r="N101" s="100"/>
      <c r="O101" s="100"/>
      <c r="P101" s="96"/>
      <c r="Q101" s="96"/>
      <c r="R101" s="96"/>
      <c r="S101" s="96"/>
      <c r="T101" s="94"/>
      <c r="U101" s="94"/>
    </row>
    <row r="102" spans="1:21" ht="15" x14ac:dyDescent="0.25">
      <c r="A102" s="154"/>
      <c r="B102" s="154"/>
      <c r="C102" s="266"/>
      <c r="D102" s="267"/>
      <c r="E102" s="257"/>
      <c r="F102" s="268"/>
      <c r="G102" s="271" t="str">
        <f t="shared" si="2"/>
        <v/>
      </c>
      <c r="H102" s="269"/>
      <c r="I102" s="271" t="str">
        <f t="shared" si="3"/>
        <v/>
      </c>
      <c r="J102" s="270" t="s">
        <v>9</v>
      </c>
      <c r="K102" s="256" t="s">
        <v>194</v>
      </c>
      <c r="L102" s="100"/>
      <c r="M102" s="100"/>
      <c r="N102" s="100"/>
      <c r="O102" s="100"/>
      <c r="P102" s="96"/>
      <c r="Q102" s="96"/>
      <c r="R102" s="96"/>
      <c r="S102" s="96"/>
      <c r="T102" s="94"/>
      <c r="U102" s="94"/>
    </row>
    <row r="103" spans="1:21" ht="15" x14ac:dyDescent="0.25">
      <c r="A103" s="154"/>
      <c r="B103" s="154"/>
      <c r="C103" s="266"/>
      <c r="D103" s="267"/>
      <c r="E103" s="257"/>
      <c r="F103" s="268"/>
      <c r="G103" s="271" t="str">
        <f t="shared" si="2"/>
        <v/>
      </c>
      <c r="H103" s="269"/>
      <c r="I103" s="271" t="str">
        <f t="shared" si="3"/>
        <v/>
      </c>
      <c r="J103" s="270" t="s">
        <v>9</v>
      </c>
      <c r="K103" s="256" t="s">
        <v>194</v>
      </c>
      <c r="L103" s="155"/>
      <c r="M103" s="155"/>
      <c r="N103" s="155"/>
      <c r="O103" s="155"/>
      <c r="P103" s="96"/>
      <c r="Q103" s="96"/>
      <c r="R103" s="96"/>
      <c r="S103" s="96"/>
      <c r="T103" s="94"/>
      <c r="U103" s="94"/>
    </row>
    <row r="104" spans="1:21" ht="15" x14ac:dyDescent="0.25">
      <c r="A104" s="154"/>
      <c r="B104" s="154"/>
      <c r="C104" s="266"/>
      <c r="D104" s="267"/>
      <c r="E104" s="257"/>
      <c r="F104" s="268"/>
      <c r="G104" s="271" t="str">
        <f t="shared" si="2"/>
        <v/>
      </c>
      <c r="H104" s="269"/>
      <c r="I104" s="271" t="str">
        <f t="shared" si="3"/>
        <v/>
      </c>
      <c r="J104" s="270" t="s">
        <v>9</v>
      </c>
      <c r="K104" s="256" t="s">
        <v>194</v>
      </c>
      <c r="L104" s="100"/>
      <c r="M104" s="100"/>
      <c r="N104" s="100"/>
      <c r="O104" s="100"/>
      <c r="P104" s="96"/>
      <c r="Q104" s="96"/>
      <c r="R104" s="96"/>
      <c r="S104" s="96"/>
      <c r="T104" s="94"/>
      <c r="U104" s="94"/>
    </row>
    <row r="105" spans="1:21" ht="15" x14ac:dyDescent="0.25">
      <c r="A105" s="154"/>
      <c r="B105" s="154"/>
      <c r="C105" s="266"/>
      <c r="D105" s="267"/>
      <c r="E105" s="257"/>
      <c r="F105" s="268"/>
      <c r="G105" s="271" t="str">
        <f t="shared" si="2"/>
        <v/>
      </c>
      <c r="H105" s="269"/>
      <c r="I105" s="271" t="str">
        <f t="shared" si="3"/>
        <v/>
      </c>
      <c r="J105" s="270" t="s">
        <v>9</v>
      </c>
      <c r="K105" s="256" t="s">
        <v>194</v>
      </c>
      <c r="L105" s="100"/>
      <c r="M105" s="100"/>
      <c r="N105" s="100"/>
      <c r="O105" s="100"/>
      <c r="P105" s="96"/>
      <c r="Q105" s="96"/>
      <c r="R105" s="96"/>
      <c r="S105" s="96"/>
      <c r="T105" s="94"/>
      <c r="U105" s="94"/>
    </row>
    <row r="106" spans="1:21" ht="15" x14ac:dyDescent="0.25">
      <c r="A106" s="154"/>
      <c r="B106" s="154"/>
      <c r="C106" s="266"/>
      <c r="D106" s="267"/>
      <c r="E106" s="257"/>
      <c r="F106" s="268"/>
      <c r="G106" s="271" t="str">
        <f t="shared" si="2"/>
        <v/>
      </c>
      <c r="H106" s="269"/>
      <c r="I106" s="271" t="str">
        <f t="shared" si="3"/>
        <v/>
      </c>
      <c r="J106" s="270" t="s">
        <v>9</v>
      </c>
      <c r="K106" s="256" t="s">
        <v>194</v>
      </c>
      <c r="L106" s="155"/>
      <c r="M106" s="155"/>
      <c r="N106" s="155"/>
      <c r="O106" s="155"/>
      <c r="P106" s="96"/>
      <c r="Q106" s="96"/>
      <c r="R106" s="96"/>
      <c r="S106" s="96"/>
      <c r="T106" s="94"/>
      <c r="U106" s="94"/>
    </row>
    <row r="107" spans="1:21" ht="15" x14ac:dyDescent="0.25">
      <c r="A107" s="154"/>
      <c r="B107" s="154"/>
      <c r="C107" s="266"/>
      <c r="D107" s="267"/>
      <c r="E107" s="257"/>
      <c r="F107" s="268"/>
      <c r="G107" s="271" t="str">
        <f t="shared" si="2"/>
        <v/>
      </c>
      <c r="H107" s="269"/>
      <c r="I107" s="271" t="str">
        <f t="shared" si="3"/>
        <v/>
      </c>
      <c r="J107" s="270" t="s">
        <v>9</v>
      </c>
      <c r="K107" s="256" t="s">
        <v>194</v>
      </c>
      <c r="L107" s="100"/>
      <c r="M107" s="100"/>
      <c r="N107" s="100"/>
      <c r="O107" s="100"/>
      <c r="P107" s="96"/>
      <c r="Q107" s="96"/>
      <c r="R107" s="96"/>
      <c r="S107" s="96"/>
      <c r="T107" s="94"/>
      <c r="U107" s="94"/>
    </row>
    <row r="108" spans="1:21" ht="15" x14ac:dyDescent="0.25">
      <c r="A108" s="154"/>
      <c r="B108" s="154"/>
      <c r="C108" s="266"/>
      <c r="D108" s="267"/>
      <c r="E108" s="257"/>
      <c r="F108" s="268"/>
      <c r="G108" s="271" t="str">
        <f t="shared" si="2"/>
        <v/>
      </c>
      <c r="H108" s="269"/>
      <c r="I108" s="271" t="str">
        <f t="shared" si="3"/>
        <v/>
      </c>
      <c r="J108" s="270" t="s">
        <v>9</v>
      </c>
      <c r="K108" s="256" t="s">
        <v>194</v>
      </c>
      <c r="L108" s="100"/>
      <c r="M108" s="100"/>
      <c r="N108" s="100"/>
      <c r="O108" s="100"/>
      <c r="P108" s="96"/>
      <c r="Q108" s="96"/>
      <c r="R108" s="96"/>
      <c r="S108" s="96"/>
      <c r="T108" s="94"/>
      <c r="U108" s="94"/>
    </row>
    <row r="109" spans="1:21" ht="15" x14ac:dyDescent="0.25">
      <c r="A109" s="154"/>
      <c r="B109" s="154"/>
      <c r="C109" s="266"/>
      <c r="D109" s="267"/>
      <c r="E109" s="257"/>
      <c r="F109" s="268"/>
      <c r="G109" s="271" t="str">
        <f t="shared" si="2"/>
        <v/>
      </c>
      <c r="H109" s="269"/>
      <c r="I109" s="271" t="str">
        <f t="shared" si="3"/>
        <v/>
      </c>
      <c r="J109" s="270" t="s">
        <v>9</v>
      </c>
      <c r="K109" s="256" t="s">
        <v>194</v>
      </c>
      <c r="L109" s="155"/>
      <c r="M109" s="155"/>
      <c r="N109" s="155"/>
      <c r="O109" s="155"/>
      <c r="P109" s="96"/>
      <c r="Q109" s="96"/>
      <c r="R109" s="96"/>
      <c r="S109" s="96"/>
      <c r="T109" s="94"/>
      <c r="U109" s="94"/>
    </row>
    <row r="110" spans="1:21" ht="15" x14ac:dyDescent="0.25">
      <c r="A110" s="154"/>
      <c r="B110" s="154"/>
      <c r="C110" s="266"/>
      <c r="D110" s="267"/>
      <c r="E110" s="257"/>
      <c r="F110" s="268"/>
      <c r="G110" s="271" t="str">
        <f t="shared" si="2"/>
        <v/>
      </c>
      <c r="H110" s="269"/>
      <c r="I110" s="271" t="str">
        <f t="shared" si="3"/>
        <v/>
      </c>
      <c r="J110" s="270" t="s">
        <v>9</v>
      </c>
      <c r="K110" s="256" t="s">
        <v>194</v>
      </c>
      <c r="L110" s="100"/>
      <c r="M110" s="100"/>
      <c r="N110" s="100"/>
      <c r="O110" s="100"/>
      <c r="P110" s="96"/>
      <c r="Q110" s="96"/>
      <c r="R110" s="96"/>
      <c r="S110" s="96"/>
      <c r="T110" s="94"/>
      <c r="U110" s="94"/>
    </row>
    <row r="111" spans="1:21" ht="15" x14ac:dyDescent="0.25">
      <c r="A111" s="154"/>
      <c r="B111" s="154"/>
      <c r="C111" s="266"/>
      <c r="D111" s="267"/>
      <c r="E111" s="257"/>
      <c r="F111" s="268"/>
      <c r="G111" s="271" t="str">
        <f t="shared" si="2"/>
        <v/>
      </c>
      <c r="H111" s="269"/>
      <c r="I111" s="271" t="str">
        <f t="shared" si="3"/>
        <v/>
      </c>
      <c r="J111" s="270" t="s">
        <v>9</v>
      </c>
      <c r="K111" s="256" t="s">
        <v>194</v>
      </c>
      <c r="L111" s="100"/>
      <c r="M111" s="100"/>
      <c r="N111" s="100"/>
      <c r="O111" s="100"/>
      <c r="P111" s="96"/>
      <c r="Q111" s="96"/>
      <c r="R111" s="96"/>
      <c r="S111" s="96"/>
      <c r="T111" s="94"/>
      <c r="U111" s="94"/>
    </row>
    <row r="112" spans="1:21" ht="15" x14ac:dyDescent="0.25">
      <c r="A112" s="154"/>
      <c r="B112" s="154"/>
      <c r="C112" s="266"/>
      <c r="D112" s="267"/>
      <c r="E112" s="257"/>
      <c r="F112" s="268"/>
      <c r="G112" s="271" t="str">
        <f t="shared" si="2"/>
        <v/>
      </c>
      <c r="H112" s="269"/>
      <c r="I112" s="271" t="str">
        <f t="shared" si="3"/>
        <v/>
      </c>
      <c r="J112" s="270" t="s">
        <v>9</v>
      </c>
      <c r="K112" s="256" t="s">
        <v>194</v>
      </c>
      <c r="L112" s="155"/>
      <c r="M112" s="155"/>
      <c r="N112" s="155"/>
      <c r="O112" s="155"/>
      <c r="P112" s="96"/>
      <c r="Q112" s="96"/>
      <c r="R112" s="96"/>
      <c r="S112" s="96"/>
      <c r="T112" s="94"/>
      <c r="U112" s="94"/>
    </row>
    <row r="113" spans="1:21" ht="15" x14ac:dyDescent="0.25">
      <c r="A113" s="154"/>
      <c r="B113" s="154"/>
      <c r="C113" s="266"/>
      <c r="D113" s="267"/>
      <c r="E113" s="257"/>
      <c r="F113" s="268"/>
      <c r="G113" s="271" t="str">
        <f t="shared" si="2"/>
        <v/>
      </c>
      <c r="H113" s="269"/>
      <c r="I113" s="271" t="str">
        <f t="shared" si="3"/>
        <v/>
      </c>
      <c r="J113" s="270" t="s">
        <v>9</v>
      </c>
      <c r="K113" s="256" t="s">
        <v>194</v>
      </c>
      <c r="L113" s="100"/>
      <c r="M113" s="100"/>
      <c r="N113" s="100"/>
      <c r="O113" s="100"/>
      <c r="P113" s="96"/>
      <c r="Q113" s="96"/>
      <c r="R113" s="96"/>
      <c r="S113" s="96"/>
      <c r="T113" s="94"/>
      <c r="U113" s="94"/>
    </row>
    <row r="114" spans="1:21" ht="15" x14ac:dyDescent="0.25">
      <c r="A114" s="154"/>
      <c r="B114" s="154"/>
      <c r="C114" s="266"/>
      <c r="D114" s="267"/>
      <c r="E114" s="257"/>
      <c r="F114" s="268"/>
      <c r="G114" s="271" t="str">
        <f t="shared" si="2"/>
        <v/>
      </c>
      <c r="H114" s="269"/>
      <c r="I114" s="271" t="str">
        <f t="shared" si="3"/>
        <v/>
      </c>
      <c r="J114" s="270" t="s">
        <v>9</v>
      </c>
      <c r="K114" s="256" t="s">
        <v>194</v>
      </c>
      <c r="L114" s="100"/>
      <c r="M114" s="100"/>
      <c r="N114" s="100"/>
      <c r="O114" s="100"/>
      <c r="P114" s="96"/>
      <c r="Q114" s="96"/>
      <c r="R114" s="96"/>
      <c r="S114" s="96"/>
      <c r="T114" s="94"/>
      <c r="U114" s="94"/>
    </row>
    <row r="115" spans="1:21" ht="15" x14ac:dyDescent="0.25">
      <c r="A115" s="154"/>
      <c r="B115" s="154"/>
      <c r="C115" s="266"/>
      <c r="D115" s="267"/>
      <c r="E115" s="257"/>
      <c r="F115" s="268"/>
      <c r="G115" s="271" t="str">
        <f t="shared" si="2"/>
        <v/>
      </c>
      <c r="H115" s="269"/>
      <c r="I115" s="271" t="str">
        <f t="shared" si="3"/>
        <v/>
      </c>
      <c r="J115" s="270" t="s">
        <v>9</v>
      </c>
      <c r="K115" s="256" t="s">
        <v>194</v>
      </c>
      <c r="L115" s="154"/>
      <c r="M115" s="154"/>
      <c r="N115" s="154"/>
      <c r="O115" s="154"/>
      <c r="P115" s="96"/>
      <c r="Q115" s="96"/>
      <c r="R115" s="96"/>
      <c r="S115" s="96"/>
      <c r="T115" s="94"/>
      <c r="U115" s="94"/>
    </row>
    <row r="116" spans="1:21" ht="15" x14ac:dyDescent="0.25">
      <c r="A116" s="154"/>
      <c r="B116" s="154"/>
      <c r="C116" s="266"/>
      <c r="D116" s="267"/>
      <c r="E116" s="257"/>
      <c r="F116" s="268"/>
      <c r="G116" s="271" t="str">
        <f t="shared" si="2"/>
        <v/>
      </c>
      <c r="H116" s="269"/>
      <c r="I116" s="271" t="str">
        <f t="shared" si="3"/>
        <v/>
      </c>
      <c r="J116" s="270" t="s">
        <v>9</v>
      </c>
      <c r="K116" s="256" t="s">
        <v>194</v>
      </c>
      <c r="L116" s="98"/>
      <c r="M116" s="98"/>
      <c r="N116" s="98"/>
      <c r="O116" s="98"/>
      <c r="P116" s="96"/>
      <c r="Q116" s="96"/>
      <c r="R116" s="96"/>
      <c r="S116" s="96"/>
      <c r="T116" s="94"/>
      <c r="U116" s="94"/>
    </row>
    <row r="117" spans="1:21" ht="15" x14ac:dyDescent="0.25">
      <c r="A117" s="154"/>
      <c r="B117" s="154"/>
      <c r="C117" s="266"/>
      <c r="D117" s="267"/>
      <c r="E117" s="257"/>
      <c r="F117" s="268"/>
      <c r="G117" s="271" t="str">
        <f t="shared" si="2"/>
        <v/>
      </c>
      <c r="H117" s="269"/>
      <c r="I117" s="271" t="str">
        <f t="shared" si="3"/>
        <v/>
      </c>
      <c r="J117" s="270" t="s">
        <v>9</v>
      </c>
      <c r="K117" s="256" t="s">
        <v>194</v>
      </c>
      <c r="L117" s="98"/>
      <c r="M117" s="98"/>
      <c r="N117" s="98"/>
      <c r="O117" s="98"/>
      <c r="P117" s="96"/>
      <c r="Q117" s="96"/>
      <c r="R117" s="96"/>
      <c r="S117" s="96"/>
      <c r="T117" s="94"/>
      <c r="U117" s="94"/>
    </row>
    <row r="118" spans="1:21" ht="15" x14ac:dyDescent="0.25">
      <c r="A118" s="154"/>
      <c r="B118" s="154"/>
      <c r="C118" s="266"/>
      <c r="D118" s="267"/>
      <c r="E118" s="257"/>
      <c r="F118" s="268"/>
      <c r="G118" s="271" t="str">
        <f t="shared" si="2"/>
        <v/>
      </c>
      <c r="H118" s="269"/>
      <c r="I118" s="271" t="str">
        <f t="shared" si="3"/>
        <v/>
      </c>
      <c r="J118" s="270" t="s">
        <v>9</v>
      </c>
      <c r="K118" s="256" t="s">
        <v>194</v>
      </c>
      <c r="L118" s="154"/>
      <c r="M118" s="154"/>
      <c r="N118" s="154"/>
      <c r="O118" s="154"/>
      <c r="P118" s="96"/>
      <c r="Q118" s="96"/>
      <c r="R118" s="96"/>
      <c r="S118" s="96"/>
      <c r="T118" s="94"/>
      <c r="U118" s="94"/>
    </row>
    <row r="119" spans="1:21" ht="15" x14ac:dyDescent="0.25">
      <c r="A119" s="154"/>
      <c r="B119" s="154"/>
      <c r="C119" s="266"/>
      <c r="D119" s="267"/>
      <c r="E119" s="257"/>
      <c r="F119" s="268"/>
      <c r="G119" s="271" t="str">
        <f t="shared" si="2"/>
        <v/>
      </c>
      <c r="H119" s="269"/>
      <c r="I119" s="271" t="str">
        <f t="shared" si="3"/>
        <v/>
      </c>
      <c r="J119" s="270" t="s">
        <v>9</v>
      </c>
      <c r="K119" s="256" t="s">
        <v>194</v>
      </c>
      <c r="L119" s="98"/>
      <c r="M119" s="98"/>
      <c r="N119" s="98"/>
      <c r="O119" s="98"/>
      <c r="P119" s="96"/>
      <c r="Q119" s="96"/>
      <c r="R119" s="96"/>
      <c r="S119" s="96"/>
      <c r="T119" s="94"/>
      <c r="U119" s="94"/>
    </row>
    <row r="120" spans="1:21" ht="15" x14ac:dyDescent="0.25">
      <c r="A120" s="154"/>
      <c r="B120" s="154"/>
      <c r="C120" s="266"/>
      <c r="D120" s="267"/>
      <c r="E120" s="257"/>
      <c r="F120" s="268"/>
      <c r="G120" s="271" t="str">
        <f t="shared" si="2"/>
        <v/>
      </c>
      <c r="H120" s="269"/>
      <c r="I120" s="271" t="str">
        <f t="shared" si="3"/>
        <v/>
      </c>
      <c r="J120" s="270" t="s">
        <v>9</v>
      </c>
      <c r="K120" s="256" t="s">
        <v>194</v>
      </c>
      <c r="L120" s="98"/>
      <c r="M120" s="98"/>
      <c r="N120" s="98"/>
      <c r="O120" s="98"/>
      <c r="P120" s="96"/>
      <c r="Q120" s="96"/>
      <c r="R120" s="96"/>
      <c r="S120" s="96"/>
      <c r="T120" s="94"/>
      <c r="U120" s="94"/>
    </row>
    <row r="121" spans="1:21" ht="15" x14ac:dyDescent="0.25">
      <c r="A121" s="154"/>
      <c r="B121" s="154"/>
      <c r="C121" s="266"/>
      <c r="D121" s="267"/>
      <c r="E121" s="257"/>
      <c r="F121" s="268"/>
      <c r="G121" s="271" t="str">
        <f t="shared" si="2"/>
        <v/>
      </c>
      <c r="H121" s="269"/>
      <c r="I121" s="271" t="str">
        <f t="shared" si="3"/>
        <v/>
      </c>
      <c r="J121" s="270" t="s">
        <v>9</v>
      </c>
      <c r="K121" s="256" t="s">
        <v>194</v>
      </c>
      <c r="L121" s="154"/>
      <c r="M121" s="154"/>
      <c r="N121" s="154"/>
      <c r="O121" s="154"/>
      <c r="P121" s="96"/>
      <c r="Q121" s="96"/>
      <c r="R121" s="96"/>
      <c r="S121" s="96"/>
      <c r="T121" s="94"/>
      <c r="U121" s="94"/>
    </row>
    <row r="122" spans="1:21" ht="15" x14ac:dyDescent="0.25">
      <c r="A122" s="154"/>
      <c r="B122" s="154"/>
      <c r="C122" s="266"/>
      <c r="D122" s="267"/>
      <c r="E122" s="257"/>
      <c r="F122" s="268"/>
      <c r="G122" s="271" t="str">
        <f t="shared" si="2"/>
        <v/>
      </c>
      <c r="H122" s="269"/>
      <c r="I122" s="271" t="str">
        <f t="shared" si="3"/>
        <v/>
      </c>
      <c r="J122" s="270" t="s">
        <v>9</v>
      </c>
      <c r="K122" s="256" t="s">
        <v>194</v>
      </c>
      <c r="L122" s="98"/>
      <c r="M122" s="98"/>
      <c r="N122" s="98"/>
      <c r="O122" s="98"/>
      <c r="P122" s="96"/>
      <c r="Q122" s="96"/>
      <c r="R122" s="96"/>
      <c r="S122" s="96"/>
      <c r="T122" s="94"/>
      <c r="U122" s="94"/>
    </row>
    <row r="123" spans="1:21" ht="15" x14ac:dyDescent="0.25">
      <c r="A123" s="154"/>
      <c r="B123" s="154"/>
      <c r="C123" s="266"/>
      <c r="D123" s="267"/>
      <c r="E123" s="257"/>
      <c r="F123" s="268"/>
      <c r="G123" s="271" t="str">
        <f t="shared" si="2"/>
        <v/>
      </c>
      <c r="H123" s="269"/>
      <c r="I123" s="271" t="str">
        <f t="shared" si="3"/>
        <v/>
      </c>
      <c r="J123" s="270" t="s">
        <v>9</v>
      </c>
      <c r="K123" s="256" t="s">
        <v>194</v>
      </c>
      <c r="L123" s="98"/>
      <c r="M123" s="98"/>
      <c r="N123" s="98"/>
      <c r="O123" s="98"/>
      <c r="P123" s="96"/>
      <c r="Q123" s="96"/>
      <c r="R123" s="96"/>
      <c r="S123" s="96"/>
      <c r="T123" s="94"/>
      <c r="U123" s="94"/>
    </row>
    <row r="124" spans="1:21" ht="15" x14ac:dyDescent="0.25">
      <c r="A124" s="154"/>
      <c r="B124" s="154"/>
      <c r="C124" s="266"/>
      <c r="D124" s="267"/>
      <c r="E124" s="257"/>
      <c r="F124" s="268"/>
      <c r="G124" s="271" t="str">
        <f t="shared" si="2"/>
        <v/>
      </c>
      <c r="H124" s="269"/>
      <c r="I124" s="271" t="str">
        <f t="shared" si="3"/>
        <v/>
      </c>
      <c r="J124" s="270" t="s">
        <v>9</v>
      </c>
      <c r="K124" s="256" t="s">
        <v>194</v>
      </c>
      <c r="L124" s="154"/>
      <c r="M124" s="154"/>
      <c r="N124" s="154"/>
      <c r="O124" s="154"/>
      <c r="P124" s="96"/>
      <c r="Q124" s="96"/>
      <c r="R124" s="96"/>
      <c r="S124" s="96"/>
      <c r="T124" s="94"/>
      <c r="U124" s="94"/>
    </row>
    <row r="125" spans="1:21" ht="15" x14ac:dyDescent="0.25">
      <c r="A125" s="154"/>
      <c r="B125" s="154"/>
      <c r="C125" s="266"/>
      <c r="D125" s="267"/>
      <c r="E125" s="257"/>
      <c r="F125" s="268"/>
      <c r="G125" s="271" t="str">
        <f t="shared" si="2"/>
        <v/>
      </c>
      <c r="H125" s="269"/>
      <c r="I125" s="271" t="str">
        <f t="shared" si="3"/>
        <v/>
      </c>
      <c r="J125" s="270" t="s">
        <v>9</v>
      </c>
      <c r="K125" s="256" t="s">
        <v>194</v>
      </c>
      <c r="L125" s="98"/>
      <c r="M125" s="98"/>
      <c r="N125" s="98"/>
      <c r="O125" s="98"/>
      <c r="P125" s="96"/>
      <c r="Q125" s="96"/>
      <c r="R125" s="96"/>
      <c r="S125" s="96"/>
      <c r="T125" s="94"/>
      <c r="U125" s="94"/>
    </row>
    <row r="126" spans="1:21" ht="15" x14ac:dyDescent="0.25">
      <c r="A126" s="154"/>
      <c r="B126" s="154"/>
      <c r="C126" s="266"/>
      <c r="D126" s="267"/>
      <c r="E126" s="257"/>
      <c r="F126" s="268"/>
      <c r="G126" s="271" t="str">
        <f t="shared" si="2"/>
        <v/>
      </c>
      <c r="H126" s="269"/>
      <c r="I126" s="271" t="str">
        <f t="shared" si="3"/>
        <v/>
      </c>
      <c r="J126" s="270" t="s">
        <v>9</v>
      </c>
      <c r="K126" s="256" t="s">
        <v>194</v>
      </c>
      <c r="L126" s="98"/>
      <c r="M126" s="98"/>
      <c r="N126" s="98"/>
      <c r="O126" s="98"/>
      <c r="P126" s="96"/>
      <c r="Q126" s="96"/>
      <c r="R126" s="96"/>
      <c r="S126" s="96"/>
      <c r="T126" s="94"/>
      <c r="U126" s="94"/>
    </row>
    <row r="127" spans="1:21" ht="15" x14ac:dyDescent="0.25">
      <c r="A127" s="154"/>
      <c r="B127" s="154"/>
      <c r="C127" s="266"/>
      <c r="D127" s="267"/>
      <c r="E127" s="257"/>
      <c r="F127" s="268"/>
      <c r="G127" s="271" t="str">
        <f t="shared" si="2"/>
        <v/>
      </c>
      <c r="H127" s="269"/>
      <c r="I127" s="271" t="str">
        <f t="shared" si="3"/>
        <v/>
      </c>
      <c r="J127" s="270" t="s">
        <v>9</v>
      </c>
      <c r="K127" s="256" t="s">
        <v>194</v>
      </c>
      <c r="L127" s="154"/>
      <c r="M127" s="154"/>
      <c r="N127" s="154"/>
      <c r="O127" s="154"/>
      <c r="P127" s="96"/>
      <c r="Q127" s="96"/>
      <c r="R127" s="96"/>
      <c r="S127" s="96"/>
      <c r="T127" s="94"/>
      <c r="U127" s="94"/>
    </row>
    <row r="128" spans="1:21" ht="15" x14ac:dyDescent="0.25">
      <c r="A128" s="154"/>
      <c r="B128" s="154"/>
      <c r="C128" s="266"/>
      <c r="D128" s="267"/>
      <c r="E128" s="257"/>
      <c r="F128" s="268"/>
      <c r="G128" s="271" t="str">
        <f t="shared" si="2"/>
        <v/>
      </c>
      <c r="H128" s="269"/>
      <c r="I128" s="271" t="str">
        <f t="shared" si="3"/>
        <v/>
      </c>
      <c r="J128" s="270" t="s">
        <v>9</v>
      </c>
      <c r="K128" s="256" t="s">
        <v>194</v>
      </c>
      <c r="L128" s="98"/>
      <c r="M128" s="98"/>
      <c r="N128" s="98"/>
      <c r="O128" s="98"/>
      <c r="P128" s="96"/>
      <c r="Q128" s="96"/>
      <c r="R128" s="96"/>
      <c r="S128" s="96"/>
      <c r="T128" s="94"/>
      <c r="U128" s="94"/>
    </row>
    <row r="129" spans="1:21" ht="15" x14ac:dyDescent="0.25">
      <c r="A129" s="154"/>
      <c r="B129" s="154"/>
      <c r="C129" s="266"/>
      <c r="D129" s="267"/>
      <c r="E129" s="257"/>
      <c r="F129" s="268"/>
      <c r="G129" s="271" t="str">
        <f t="shared" si="2"/>
        <v/>
      </c>
      <c r="H129" s="269"/>
      <c r="I129" s="271" t="str">
        <f t="shared" si="3"/>
        <v/>
      </c>
      <c r="J129" s="270" t="s">
        <v>9</v>
      </c>
      <c r="K129" s="256" t="s">
        <v>194</v>
      </c>
      <c r="L129" s="98"/>
      <c r="M129" s="98"/>
      <c r="N129" s="98"/>
      <c r="O129" s="98"/>
      <c r="P129" s="96"/>
      <c r="Q129" s="96"/>
      <c r="R129" s="96"/>
      <c r="S129" s="96"/>
      <c r="T129" s="94"/>
      <c r="U129" s="94"/>
    </row>
    <row r="130" spans="1:21" ht="15" x14ac:dyDescent="0.25">
      <c r="A130" s="154"/>
      <c r="B130" s="154"/>
      <c r="C130" s="266"/>
      <c r="D130" s="267"/>
      <c r="E130" s="257"/>
      <c r="F130" s="268"/>
      <c r="G130" s="271" t="str">
        <f t="shared" si="2"/>
        <v/>
      </c>
      <c r="H130" s="269"/>
      <c r="I130" s="271" t="str">
        <f t="shared" si="3"/>
        <v/>
      </c>
      <c r="J130" s="270" t="s">
        <v>9</v>
      </c>
      <c r="K130" s="256" t="s">
        <v>194</v>
      </c>
      <c r="L130" s="154"/>
      <c r="M130" s="154"/>
      <c r="N130" s="154"/>
      <c r="O130" s="154"/>
      <c r="P130" s="96"/>
      <c r="Q130" s="96"/>
      <c r="R130" s="96"/>
      <c r="S130" s="96"/>
      <c r="T130" s="94"/>
      <c r="U130" s="94"/>
    </row>
    <row r="131" spans="1:21" ht="15" x14ac:dyDescent="0.25">
      <c r="A131" s="154"/>
      <c r="B131" s="154"/>
      <c r="C131" s="266"/>
      <c r="D131" s="267"/>
      <c r="E131" s="257"/>
      <c r="F131" s="268"/>
      <c r="G131" s="271" t="str">
        <f t="shared" si="2"/>
        <v/>
      </c>
      <c r="H131" s="269"/>
      <c r="I131" s="271" t="str">
        <f t="shared" si="3"/>
        <v/>
      </c>
      <c r="J131" s="270" t="s">
        <v>9</v>
      </c>
      <c r="K131" s="256" t="s">
        <v>194</v>
      </c>
      <c r="L131" s="154"/>
      <c r="M131" s="154"/>
      <c r="N131" s="154"/>
      <c r="O131" s="154"/>
      <c r="P131" s="96"/>
      <c r="Q131" s="96"/>
      <c r="R131" s="96"/>
      <c r="S131" s="96"/>
      <c r="T131" s="94"/>
      <c r="U131" s="94"/>
    </row>
    <row r="132" spans="1:21" ht="15" x14ac:dyDescent="0.25">
      <c r="A132" s="154"/>
      <c r="B132" s="154"/>
      <c r="C132" s="266"/>
      <c r="D132" s="267"/>
      <c r="E132" s="257"/>
      <c r="F132" s="268"/>
      <c r="G132" s="271" t="str">
        <f t="shared" si="2"/>
        <v/>
      </c>
      <c r="H132" s="269"/>
      <c r="I132" s="271" t="str">
        <f t="shared" si="3"/>
        <v/>
      </c>
      <c r="J132" s="270" t="s">
        <v>9</v>
      </c>
      <c r="K132" s="256" t="s">
        <v>194</v>
      </c>
      <c r="L132" s="154"/>
      <c r="M132" s="154"/>
      <c r="N132" s="154"/>
      <c r="O132" s="154"/>
      <c r="P132" s="96"/>
      <c r="Q132" s="96"/>
      <c r="R132" s="96"/>
      <c r="S132" s="96"/>
      <c r="T132" s="94"/>
      <c r="U132" s="94"/>
    </row>
    <row r="133" spans="1:21" ht="15" x14ac:dyDescent="0.25">
      <c r="A133" s="154"/>
      <c r="B133" s="154"/>
      <c r="C133" s="266"/>
      <c r="D133" s="267"/>
      <c r="E133" s="257"/>
      <c r="F133" s="268"/>
      <c r="G133" s="271" t="str">
        <f t="shared" si="2"/>
        <v/>
      </c>
      <c r="H133" s="269"/>
      <c r="I133" s="271" t="str">
        <f t="shared" si="3"/>
        <v/>
      </c>
      <c r="J133" s="270" t="s">
        <v>9</v>
      </c>
      <c r="K133" s="256" t="s">
        <v>194</v>
      </c>
      <c r="L133" s="154"/>
      <c r="M133" s="154"/>
      <c r="N133" s="154"/>
      <c r="O133" s="154"/>
      <c r="P133" s="96"/>
      <c r="Q133" s="96"/>
      <c r="R133" s="96"/>
      <c r="S133" s="96"/>
      <c r="T133" s="94"/>
      <c r="U133" s="94"/>
    </row>
    <row r="134" spans="1:21" ht="15" x14ac:dyDescent="0.25">
      <c r="A134" s="154"/>
      <c r="B134" s="154"/>
      <c r="C134" s="266"/>
      <c r="D134" s="267"/>
      <c r="E134" s="257"/>
      <c r="F134" s="268"/>
      <c r="G134" s="271" t="str">
        <f t="shared" si="2"/>
        <v/>
      </c>
      <c r="H134" s="269"/>
      <c r="I134" s="271" t="str">
        <f t="shared" si="3"/>
        <v/>
      </c>
      <c r="J134" s="270" t="s">
        <v>9</v>
      </c>
      <c r="K134" s="256" t="s">
        <v>194</v>
      </c>
      <c r="L134" s="98"/>
      <c r="M134" s="98"/>
      <c r="N134" s="98"/>
      <c r="O134" s="98"/>
      <c r="P134" s="96"/>
      <c r="Q134" s="96"/>
      <c r="R134" s="96"/>
      <c r="S134" s="96"/>
      <c r="T134" s="94"/>
      <c r="U134" s="94"/>
    </row>
    <row r="135" spans="1:21" ht="15" x14ac:dyDescent="0.25">
      <c r="A135" s="154"/>
      <c r="B135" s="154"/>
      <c r="C135" s="266"/>
      <c r="D135" s="267"/>
      <c r="E135" s="257"/>
      <c r="F135" s="268"/>
      <c r="G135" s="271" t="str">
        <f t="shared" si="2"/>
        <v/>
      </c>
      <c r="H135" s="269"/>
      <c r="I135" s="271" t="str">
        <f t="shared" si="3"/>
        <v/>
      </c>
      <c r="J135" s="270" t="s">
        <v>9</v>
      </c>
      <c r="K135" s="256" t="s">
        <v>194</v>
      </c>
      <c r="L135" s="98"/>
      <c r="M135" s="98"/>
      <c r="N135" s="98"/>
      <c r="O135" s="98"/>
      <c r="P135" s="96"/>
      <c r="Q135" s="96"/>
      <c r="R135" s="96"/>
      <c r="S135" s="96"/>
      <c r="T135" s="94"/>
      <c r="U135" s="94"/>
    </row>
    <row r="136" spans="1:21" ht="15" x14ac:dyDescent="0.25">
      <c r="A136" s="154"/>
      <c r="B136" s="154"/>
      <c r="C136" s="266"/>
      <c r="D136" s="267"/>
      <c r="E136" s="257"/>
      <c r="F136" s="268"/>
      <c r="G136" s="271" t="str">
        <f t="shared" si="2"/>
        <v/>
      </c>
      <c r="H136" s="269"/>
      <c r="I136" s="271" t="str">
        <f t="shared" si="3"/>
        <v/>
      </c>
      <c r="J136" s="270" t="s">
        <v>9</v>
      </c>
      <c r="K136" s="256" t="s">
        <v>194</v>
      </c>
      <c r="L136" s="98"/>
      <c r="M136" s="98"/>
      <c r="N136" s="98"/>
      <c r="O136" s="98"/>
      <c r="P136" s="96"/>
      <c r="Q136" s="96"/>
      <c r="R136" s="96"/>
      <c r="S136" s="96"/>
      <c r="T136" s="94"/>
      <c r="U136" s="94"/>
    </row>
    <row r="137" spans="1:21" ht="15" x14ac:dyDescent="0.25">
      <c r="A137" s="154"/>
      <c r="B137" s="154"/>
      <c r="C137" s="266"/>
      <c r="D137" s="267"/>
      <c r="E137" s="257"/>
      <c r="F137" s="268"/>
      <c r="G137" s="271" t="str">
        <f t="shared" si="2"/>
        <v/>
      </c>
      <c r="H137" s="269"/>
      <c r="I137" s="271" t="str">
        <f t="shared" si="3"/>
        <v/>
      </c>
      <c r="J137" s="270" t="s">
        <v>9</v>
      </c>
      <c r="K137" s="256" t="s">
        <v>194</v>
      </c>
      <c r="L137" s="98"/>
      <c r="M137" s="98"/>
      <c r="N137" s="98"/>
      <c r="O137" s="98"/>
      <c r="P137" s="96"/>
      <c r="Q137" s="96"/>
      <c r="R137" s="96"/>
      <c r="S137" s="96"/>
      <c r="T137" s="94"/>
      <c r="U137" s="94"/>
    </row>
    <row r="138" spans="1:21" ht="15" x14ac:dyDescent="0.25">
      <c r="A138" s="154"/>
      <c r="B138" s="154"/>
      <c r="C138" s="266"/>
      <c r="D138" s="267"/>
      <c r="E138" s="257"/>
      <c r="F138" s="268"/>
      <c r="G138" s="271" t="str">
        <f t="shared" si="2"/>
        <v/>
      </c>
      <c r="H138" s="269"/>
      <c r="I138" s="271" t="str">
        <f t="shared" si="3"/>
        <v/>
      </c>
      <c r="J138" s="270" t="s">
        <v>9</v>
      </c>
      <c r="K138" s="256" t="s">
        <v>194</v>
      </c>
      <c r="L138" s="98"/>
      <c r="M138" s="98"/>
      <c r="N138" s="98"/>
      <c r="O138" s="98"/>
      <c r="P138" s="96"/>
      <c r="Q138" s="96"/>
      <c r="R138" s="96"/>
      <c r="S138" s="96"/>
      <c r="T138" s="94"/>
      <c r="U138" s="94"/>
    </row>
    <row r="139" spans="1:21" ht="15" x14ac:dyDescent="0.25">
      <c r="A139" s="154"/>
      <c r="B139" s="154"/>
      <c r="C139" s="266"/>
      <c r="D139" s="267"/>
      <c r="E139" s="257"/>
      <c r="F139" s="268"/>
      <c r="G139" s="271" t="str">
        <f t="shared" si="2"/>
        <v/>
      </c>
      <c r="H139" s="269"/>
      <c r="I139" s="271" t="str">
        <f t="shared" si="3"/>
        <v/>
      </c>
      <c r="J139" s="270" t="s">
        <v>9</v>
      </c>
      <c r="K139" s="256" t="s">
        <v>194</v>
      </c>
      <c r="L139" s="98"/>
      <c r="M139" s="98"/>
      <c r="N139" s="98"/>
      <c r="O139" s="98"/>
      <c r="P139" s="96"/>
      <c r="Q139" s="96"/>
      <c r="R139" s="96"/>
      <c r="S139" s="96"/>
      <c r="T139" s="94"/>
      <c r="U139" s="94"/>
    </row>
    <row r="140" spans="1:21" ht="15" x14ac:dyDescent="0.25">
      <c r="A140" s="154"/>
      <c r="B140" s="154"/>
      <c r="C140" s="266"/>
      <c r="D140" s="267"/>
      <c r="E140" s="257"/>
      <c r="F140" s="268"/>
      <c r="G140" s="271" t="str">
        <f t="shared" si="2"/>
        <v/>
      </c>
      <c r="H140" s="269"/>
      <c r="I140" s="271" t="str">
        <f t="shared" si="3"/>
        <v/>
      </c>
      <c r="J140" s="270" t="s">
        <v>9</v>
      </c>
      <c r="K140" s="256" t="s">
        <v>194</v>
      </c>
      <c r="L140" s="98"/>
      <c r="M140" s="98"/>
      <c r="N140" s="98"/>
      <c r="O140" s="98"/>
      <c r="P140" s="96"/>
      <c r="Q140" s="96"/>
      <c r="R140" s="96"/>
      <c r="S140" s="96"/>
      <c r="T140" s="94"/>
      <c r="U140" s="94"/>
    </row>
    <row r="141" spans="1:21" ht="15" x14ac:dyDescent="0.25">
      <c r="A141" s="154"/>
      <c r="B141" s="154"/>
      <c r="C141" s="266"/>
      <c r="D141" s="267"/>
      <c r="E141" s="257"/>
      <c r="F141" s="268"/>
      <c r="G141" s="271" t="str">
        <f t="shared" ref="G141:G204" si="4">IF(F141/par_TS_brutto&lt;&gt;0,ROUND(F141/par_TS_brutto,4),"")</f>
        <v/>
      </c>
      <c r="H141" s="269"/>
      <c r="I141" s="271" t="str">
        <f t="shared" si="3"/>
        <v/>
      </c>
      <c r="J141" s="270" t="s">
        <v>9</v>
      </c>
      <c r="K141" s="256" t="s">
        <v>194</v>
      </c>
      <c r="L141" s="98"/>
      <c r="M141" s="98"/>
      <c r="N141" s="98"/>
      <c r="O141" s="98"/>
      <c r="P141" s="96"/>
      <c r="Q141" s="96"/>
      <c r="R141" s="96"/>
      <c r="S141" s="96"/>
      <c r="T141" s="94"/>
      <c r="U141" s="94"/>
    </row>
    <row r="142" spans="1:21" ht="15" x14ac:dyDescent="0.25">
      <c r="A142" s="154"/>
      <c r="B142" s="154"/>
      <c r="C142" s="266"/>
      <c r="D142" s="267"/>
      <c r="E142" s="257"/>
      <c r="F142" s="268"/>
      <c r="G142" s="271" t="str">
        <f t="shared" si="4"/>
        <v/>
      </c>
      <c r="H142" s="269"/>
      <c r="I142" s="271" t="str">
        <f t="shared" ref="I142:I205" si="5">IFERROR(ROUND(F142/H142,4),"")</f>
        <v/>
      </c>
      <c r="J142" s="270" t="s">
        <v>9</v>
      </c>
      <c r="K142" s="256" t="s">
        <v>194</v>
      </c>
      <c r="L142" s="98"/>
      <c r="M142" s="98"/>
      <c r="N142" s="98"/>
      <c r="O142" s="98"/>
      <c r="P142" s="96"/>
      <c r="Q142" s="96"/>
      <c r="R142" s="96"/>
      <c r="S142" s="96"/>
      <c r="T142" s="94"/>
      <c r="U142" s="94"/>
    </row>
    <row r="143" spans="1:21" ht="15" x14ac:dyDescent="0.25">
      <c r="A143" s="154"/>
      <c r="B143" s="154"/>
      <c r="C143" s="266"/>
      <c r="D143" s="267"/>
      <c r="E143" s="257"/>
      <c r="F143" s="268"/>
      <c r="G143" s="271" t="str">
        <f t="shared" si="4"/>
        <v/>
      </c>
      <c r="H143" s="269"/>
      <c r="I143" s="271" t="str">
        <f t="shared" si="5"/>
        <v/>
      </c>
      <c r="J143" s="270" t="s">
        <v>9</v>
      </c>
      <c r="K143" s="256" t="s">
        <v>194</v>
      </c>
      <c r="L143" s="98"/>
      <c r="M143" s="98"/>
      <c r="N143" s="98"/>
      <c r="O143" s="98"/>
      <c r="P143" s="96"/>
      <c r="Q143" s="96"/>
      <c r="R143" s="96"/>
      <c r="S143" s="96"/>
      <c r="T143" s="94"/>
      <c r="U143" s="94"/>
    </row>
    <row r="144" spans="1:21" ht="15" x14ac:dyDescent="0.25">
      <c r="A144" s="154"/>
      <c r="B144" s="154"/>
      <c r="C144" s="266"/>
      <c r="D144" s="267"/>
      <c r="E144" s="257"/>
      <c r="F144" s="268"/>
      <c r="G144" s="271" t="str">
        <f t="shared" si="4"/>
        <v/>
      </c>
      <c r="H144" s="269"/>
      <c r="I144" s="271" t="str">
        <f t="shared" si="5"/>
        <v/>
      </c>
      <c r="J144" s="270" t="s">
        <v>9</v>
      </c>
      <c r="K144" s="256" t="s">
        <v>194</v>
      </c>
      <c r="L144" s="98"/>
      <c r="M144" s="98"/>
      <c r="N144" s="98"/>
      <c r="O144" s="98"/>
      <c r="P144" s="96"/>
      <c r="Q144" s="96"/>
      <c r="R144" s="96"/>
      <c r="S144" s="96"/>
      <c r="T144" s="94"/>
      <c r="U144" s="94"/>
    </row>
    <row r="145" spans="1:21" ht="15" x14ac:dyDescent="0.25">
      <c r="A145" s="154"/>
      <c r="B145" s="154"/>
      <c r="C145" s="266"/>
      <c r="D145" s="267"/>
      <c r="E145" s="257"/>
      <c r="F145" s="268"/>
      <c r="G145" s="271" t="str">
        <f t="shared" si="4"/>
        <v/>
      </c>
      <c r="H145" s="269"/>
      <c r="I145" s="271" t="str">
        <f t="shared" si="5"/>
        <v/>
      </c>
      <c r="J145" s="270" t="s">
        <v>9</v>
      </c>
      <c r="K145" s="256" t="s">
        <v>194</v>
      </c>
      <c r="L145" s="98"/>
      <c r="M145" s="98"/>
      <c r="N145" s="98"/>
      <c r="O145" s="98"/>
      <c r="P145" s="96"/>
      <c r="Q145" s="96"/>
      <c r="R145" s="96"/>
      <c r="S145" s="96"/>
      <c r="T145" s="94"/>
      <c r="U145" s="94"/>
    </row>
    <row r="146" spans="1:21" ht="15" x14ac:dyDescent="0.25">
      <c r="A146" s="154"/>
      <c r="B146" s="154"/>
      <c r="C146" s="266"/>
      <c r="D146" s="267"/>
      <c r="E146" s="257"/>
      <c r="F146" s="268"/>
      <c r="G146" s="271" t="str">
        <f t="shared" si="4"/>
        <v/>
      </c>
      <c r="H146" s="269"/>
      <c r="I146" s="271" t="str">
        <f t="shared" si="5"/>
        <v/>
      </c>
      <c r="J146" s="270" t="s">
        <v>9</v>
      </c>
      <c r="K146" s="256" t="s">
        <v>194</v>
      </c>
      <c r="L146" s="98"/>
      <c r="M146" s="98"/>
      <c r="N146" s="98"/>
      <c r="O146" s="98"/>
      <c r="P146" s="96"/>
      <c r="Q146" s="96"/>
      <c r="R146" s="96"/>
      <c r="S146" s="96"/>
      <c r="T146" s="94"/>
      <c r="U146" s="94"/>
    </row>
    <row r="147" spans="1:21" ht="15" x14ac:dyDescent="0.25">
      <c r="A147" s="154"/>
      <c r="B147" s="154"/>
      <c r="C147" s="266"/>
      <c r="D147" s="267"/>
      <c r="E147" s="257"/>
      <c r="F147" s="268"/>
      <c r="G147" s="271" t="str">
        <f t="shared" si="4"/>
        <v/>
      </c>
      <c r="H147" s="269"/>
      <c r="I147" s="271" t="str">
        <f t="shared" si="5"/>
        <v/>
      </c>
      <c r="J147" s="270" t="s">
        <v>9</v>
      </c>
      <c r="K147" s="256" t="s">
        <v>194</v>
      </c>
      <c r="L147" s="98"/>
      <c r="M147" s="98"/>
      <c r="N147" s="98"/>
      <c r="O147" s="98"/>
      <c r="P147" s="96"/>
      <c r="Q147" s="96"/>
      <c r="R147" s="96"/>
      <c r="S147" s="96"/>
      <c r="T147" s="94"/>
      <c r="U147" s="94"/>
    </row>
    <row r="148" spans="1:21" ht="15" x14ac:dyDescent="0.25">
      <c r="A148" s="154"/>
      <c r="B148" s="154"/>
      <c r="C148" s="266"/>
      <c r="D148" s="267"/>
      <c r="E148" s="257"/>
      <c r="F148" s="268"/>
      <c r="G148" s="271" t="str">
        <f t="shared" si="4"/>
        <v/>
      </c>
      <c r="H148" s="269"/>
      <c r="I148" s="271" t="str">
        <f t="shared" si="5"/>
        <v/>
      </c>
      <c r="J148" s="270" t="s">
        <v>9</v>
      </c>
      <c r="K148" s="256" t="s">
        <v>194</v>
      </c>
      <c r="L148" s="98"/>
      <c r="M148" s="98"/>
      <c r="N148" s="98"/>
      <c r="O148" s="98"/>
      <c r="P148" s="96"/>
      <c r="Q148" s="96"/>
      <c r="R148" s="96"/>
      <c r="S148" s="96"/>
      <c r="T148" s="94"/>
      <c r="U148" s="94"/>
    </row>
    <row r="149" spans="1:21" ht="15" x14ac:dyDescent="0.25">
      <c r="A149" s="154"/>
      <c r="B149" s="154"/>
      <c r="C149" s="266"/>
      <c r="D149" s="267"/>
      <c r="E149" s="257"/>
      <c r="F149" s="268"/>
      <c r="G149" s="271" t="str">
        <f t="shared" si="4"/>
        <v/>
      </c>
      <c r="H149" s="269"/>
      <c r="I149" s="271" t="str">
        <f t="shared" si="5"/>
        <v/>
      </c>
      <c r="J149" s="270" t="s">
        <v>9</v>
      </c>
      <c r="K149" s="256" t="s">
        <v>194</v>
      </c>
      <c r="L149" s="98"/>
      <c r="M149" s="98"/>
      <c r="N149" s="98"/>
      <c r="O149" s="98"/>
      <c r="P149" s="96"/>
      <c r="Q149" s="96"/>
      <c r="R149" s="96"/>
      <c r="S149" s="96"/>
      <c r="T149" s="94"/>
      <c r="U149" s="94"/>
    </row>
    <row r="150" spans="1:21" ht="15" x14ac:dyDescent="0.25">
      <c r="A150" s="154"/>
      <c r="B150" s="154"/>
      <c r="C150" s="266"/>
      <c r="D150" s="267"/>
      <c r="E150" s="257"/>
      <c r="F150" s="268"/>
      <c r="G150" s="271" t="str">
        <f t="shared" si="4"/>
        <v/>
      </c>
      <c r="H150" s="269"/>
      <c r="I150" s="271" t="str">
        <f t="shared" si="5"/>
        <v/>
      </c>
      <c r="J150" s="270" t="s">
        <v>9</v>
      </c>
      <c r="K150" s="256" t="s">
        <v>194</v>
      </c>
      <c r="L150" s="98"/>
      <c r="M150" s="98"/>
      <c r="N150" s="98"/>
      <c r="O150" s="98"/>
      <c r="P150" s="96"/>
      <c r="Q150" s="96"/>
      <c r="R150" s="96"/>
      <c r="S150" s="96"/>
      <c r="T150" s="94"/>
      <c r="U150" s="94"/>
    </row>
    <row r="151" spans="1:21" ht="15" x14ac:dyDescent="0.25">
      <c r="A151" s="154"/>
      <c r="B151" s="154"/>
      <c r="C151" s="266"/>
      <c r="D151" s="267"/>
      <c r="E151" s="257"/>
      <c r="F151" s="268"/>
      <c r="G151" s="271" t="str">
        <f t="shared" si="4"/>
        <v/>
      </c>
      <c r="H151" s="269"/>
      <c r="I151" s="271" t="str">
        <f t="shared" si="5"/>
        <v/>
      </c>
      <c r="J151" s="270" t="s">
        <v>9</v>
      </c>
      <c r="K151" s="256" t="s">
        <v>194</v>
      </c>
      <c r="L151" s="98"/>
      <c r="M151" s="98"/>
      <c r="N151" s="98"/>
      <c r="O151" s="98"/>
      <c r="P151" s="96"/>
      <c r="Q151" s="96"/>
      <c r="R151" s="96"/>
      <c r="S151" s="96"/>
      <c r="T151" s="94"/>
      <c r="U151" s="94"/>
    </row>
    <row r="152" spans="1:21" ht="15" x14ac:dyDescent="0.25">
      <c r="A152" s="154"/>
      <c r="B152" s="154"/>
      <c r="C152" s="266"/>
      <c r="D152" s="267"/>
      <c r="E152" s="257"/>
      <c r="F152" s="268"/>
      <c r="G152" s="271" t="str">
        <f t="shared" si="4"/>
        <v/>
      </c>
      <c r="H152" s="269"/>
      <c r="I152" s="271" t="str">
        <f t="shared" si="5"/>
        <v/>
      </c>
      <c r="J152" s="270" t="s">
        <v>9</v>
      </c>
      <c r="K152" s="256" t="s">
        <v>194</v>
      </c>
      <c r="L152" s="98"/>
      <c r="M152" s="98"/>
      <c r="N152" s="98"/>
      <c r="O152" s="98"/>
      <c r="P152" s="96"/>
      <c r="Q152" s="96"/>
      <c r="R152" s="96"/>
      <c r="S152" s="96"/>
      <c r="T152" s="94"/>
      <c r="U152" s="94"/>
    </row>
    <row r="153" spans="1:21" ht="15" x14ac:dyDescent="0.25">
      <c r="A153" s="154"/>
      <c r="B153" s="154"/>
      <c r="C153" s="266"/>
      <c r="D153" s="267"/>
      <c r="E153" s="257"/>
      <c r="F153" s="268"/>
      <c r="G153" s="271" t="str">
        <f t="shared" si="4"/>
        <v/>
      </c>
      <c r="H153" s="269"/>
      <c r="I153" s="271" t="str">
        <f t="shared" si="5"/>
        <v/>
      </c>
      <c r="J153" s="270" t="s">
        <v>9</v>
      </c>
      <c r="K153" s="256" t="s">
        <v>194</v>
      </c>
      <c r="L153" s="98"/>
      <c r="M153" s="98"/>
      <c r="N153" s="98"/>
      <c r="O153" s="98"/>
      <c r="P153" s="96"/>
      <c r="Q153" s="96"/>
      <c r="R153" s="96"/>
      <c r="S153" s="96"/>
      <c r="T153" s="94"/>
      <c r="U153" s="94"/>
    </row>
    <row r="154" spans="1:21" ht="15" x14ac:dyDescent="0.25">
      <c r="A154" s="154"/>
      <c r="B154" s="154"/>
      <c r="C154" s="266"/>
      <c r="D154" s="267"/>
      <c r="E154" s="257"/>
      <c r="F154" s="268"/>
      <c r="G154" s="271" t="str">
        <f t="shared" si="4"/>
        <v/>
      </c>
      <c r="H154" s="269"/>
      <c r="I154" s="271" t="str">
        <f t="shared" si="5"/>
        <v/>
      </c>
      <c r="J154" s="270" t="s">
        <v>9</v>
      </c>
      <c r="K154" s="256" t="s">
        <v>194</v>
      </c>
      <c r="L154" s="98"/>
      <c r="M154" s="98"/>
      <c r="N154" s="98"/>
      <c r="O154" s="98"/>
      <c r="P154" s="96"/>
      <c r="Q154" s="96"/>
      <c r="R154" s="96"/>
      <c r="S154" s="96"/>
      <c r="T154" s="94"/>
      <c r="U154" s="94"/>
    </row>
    <row r="155" spans="1:21" ht="15" x14ac:dyDescent="0.25">
      <c r="A155" s="154"/>
      <c r="B155" s="154"/>
      <c r="C155" s="266"/>
      <c r="D155" s="267"/>
      <c r="E155" s="257"/>
      <c r="F155" s="268"/>
      <c r="G155" s="271" t="str">
        <f t="shared" si="4"/>
        <v/>
      </c>
      <c r="H155" s="269"/>
      <c r="I155" s="271" t="str">
        <f t="shared" si="5"/>
        <v/>
      </c>
      <c r="J155" s="270" t="s">
        <v>9</v>
      </c>
      <c r="K155" s="256" t="s">
        <v>194</v>
      </c>
      <c r="L155" s="98"/>
      <c r="M155" s="98"/>
      <c r="N155" s="98"/>
      <c r="O155" s="98"/>
      <c r="P155" s="96"/>
      <c r="Q155" s="96"/>
      <c r="R155" s="96"/>
      <c r="S155" s="96"/>
      <c r="T155" s="94"/>
      <c r="U155" s="94"/>
    </row>
    <row r="156" spans="1:21" ht="15" x14ac:dyDescent="0.25">
      <c r="A156" s="154"/>
      <c r="B156" s="154"/>
      <c r="C156" s="266"/>
      <c r="D156" s="267"/>
      <c r="E156" s="257"/>
      <c r="F156" s="268"/>
      <c r="G156" s="271" t="str">
        <f t="shared" si="4"/>
        <v/>
      </c>
      <c r="H156" s="269"/>
      <c r="I156" s="271" t="str">
        <f t="shared" si="5"/>
        <v/>
      </c>
      <c r="J156" s="270" t="s">
        <v>9</v>
      </c>
      <c r="K156" s="256" t="s">
        <v>194</v>
      </c>
      <c r="L156" s="98"/>
      <c r="M156" s="98"/>
      <c r="N156" s="98"/>
      <c r="O156" s="98"/>
      <c r="P156" s="96"/>
      <c r="Q156" s="96"/>
      <c r="R156" s="96"/>
      <c r="S156" s="96"/>
      <c r="T156" s="94"/>
      <c r="U156" s="94"/>
    </row>
    <row r="157" spans="1:21" ht="15" x14ac:dyDescent="0.25">
      <c r="A157" s="154"/>
      <c r="B157" s="154"/>
      <c r="C157" s="266"/>
      <c r="D157" s="267"/>
      <c r="E157" s="257"/>
      <c r="F157" s="268"/>
      <c r="G157" s="271" t="str">
        <f t="shared" si="4"/>
        <v/>
      </c>
      <c r="H157" s="269"/>
      <c r="I157" s="271" t="str">
        <f t="shared" si="5"/>
        <v/>
      </c>
      <c r="J157" s="270" t="s">
        <v>9</v>
      </c>
      <c r="K157" s="256" t="s">
        <v>194</v>
      </c>
      <c r="L157" s="98"/>
      <c r="M157" s="98"/>
      <c r="N157" s="98"/>
      <c r="O157" s="98"/>
      <c r="P157" s="96"/>
      <c r="Q157" s="96"/>
      <c r="R157" s="96"/>
      <c r="S157" s="96"/>
      <c r="T157" s="94"/>
      <c r="U157" s="94"/>
    </row>
    <row r="158" spans="1:21" ht="15" x14ac:dyDescent="0.25">
      <c r="A158" s="154"/>
      <c r="B158" s="154"/>
      <c r="C158" s="266"/>
      <c r="D158" s="267"/>
      <c r="E158" s="257"/>
      <c r="F158" s="268"/>
      <c r="G158" s="271" t="str">
        <f t="shared" si="4"/>
        <v/>
      </c>
      <c r="H158" s="269"/>
      <c r="I158" s="271" t="str">
        <f t="shared" si="5"/>
        <v/>
      </c>
      <c r="J158" s="270" t="s">
        <v>9</v>
      </c>
      <c r="K158" s="256" t="s">
        <v>194</v>
      </c>
      <c r="L158" s="98"/>
      <c r="M158" s="98"/>
      <c r="N158" s="98"/>
      <c r="O158" s="98"/>
      <c r="P158" s="96"/>
      <c r="Q158" s="96"/>
      <c r="R158" s="96"/>
      <c r="S158" s="96"/>
      <c r="T158" s="94"/>
      <c r="U158" s="94"/>
    </row>
    <row r="159" spans="1:21" ht="15" x14ac:dyDescent="0.25">
      <c r="A159" s="154"/>
      <c r="B159" s="154"/>
      <c r="C159" s="266"/>
      <c r="D159" s="267"/>
      <c r="E159" s="257"/>
      <c r="F159" s="268"/>
      <c r="G159" s="271" t="str">
        <f t="shared" si="4"/>
        <v/>
      </c>
      <c r="H159" s="269"/>
      <c r="I159" s="271" t="str">
        <f t="shared" si="5"/>
        <v/>
      </c>
      <c r="J159" s="270" t="s">
        <v>9</v>
      </c>
      <c r="K159" s="256" t="s">
        <v>194</v>
      </c>
      <c r="L159" s="98"/>
      <c r="M159" s="98"/>
      <c r="N159" s="98"/>
      <c r="O159" s="98"/>
      <c r="P159" s="96"/>
      <c r="Q159" s="96"/>
      <c r="R159" s="96"/>
      <c r="S159" s="96"/>
      <c r="T159" s="94"/>
      <c r="U159" s="94"/>
    </row>
    <row r="160" spans="1:21" ht="15" x14ac:dyDescent="0.25">
      <c r="A160" s="154"/>
      <c r="B160" s="154"/>
      <c r="C160" s="266"/>
      <c r="D160" s="267"/>
      <c r="E160" s="257"/>
      <c r="F160" s="268"/>
      <c r="G160" s="271" t="str">
        <f t="shared" si="4"/>
        <v/>
      </c>
      <c r="H160" s="269"/>
      <c r="I160" s="271" t="str">
        <f t="shared" si="5"/>
        <v/>
      </c>
      <c r="J160" s="270" t="s">
        <v>9</v>
      </c>
      <c r="K160" s="256" t="s">
        <v>194</v>
      </c>
      <c r="L160" s="98"/>
      <c r="M160" s="98"/>
      <c r="N160" s="98"/>
      <c r="O160" s="98"/>
      <c r="P160" s="96"/>
      <c r="Q160" s="96"/>
      <c r="R160" s="96"/>
      <c r="S160" s="96"/>
      <c r="T160" s="94"/>
      <c r="U160" s="94"/>
    </row>
    <row r="161" spans="1:21" ht="15" x14ac:dyDescent="0.25">
      <c r="A161" s="154"/>
      <c r="B161" s="154"/>
      <c r="C161" s="266"/>
      <c r="D161" s="267"/>
      <c r="E161" s="257"/>
      <c r="F161" s="268"/>
      <c r="G161" s="271" t="str">
        <f t="shared" si="4"/>
        <v/>
      </c>
      <c r="H161" s="269"/>
      <c r="I161" s="271" t="str">
        <f t="shared" si="5"/>
        <v/>
      </c>
      <c r="J161" s="270" t="s">
        <v>9</v>
      </c>
      <c r="K161" s="256" t="s">
        <v>194</v>
      </c>
      <c r="L161" s="98"/>
      <c r="M161" s="98"/>
      <c r="N161" s="98"/>
      <c r="O161" s="98"/>
      <c r="P161" s="96"/>
      <c r="Q161" s="96"/>
      <c r="R161" s="96"/>
      <c r="S161" s="96"/>
      <c r="T161" s="94"/>
      <c r="U161" s="94"/>
    </row>
    <row r="162" spans="1:21" ht="15" x14ac:dyDescent="0.25">
      <c r="A162" s="154"/>
      <c r="B162" s="154"/>
      <c r="C162" s="266"/>
      <c r="D162" s="267"/>
      <c r="E162" s="257"/>
      <c r="F162" s="268"/>
      <c r="G162" s="271" t="str">
        <f t="shared" si="4"/>
        <v/>
      </c>
      <c r="H162" s="269"/>
      <c r="I162" s="271" t="str">
        <f t="shared" si="5"/>
        <v/>
      </c>
      <c r="J162" s="270" t="s">
        <v>9</v>
      </c>
      <c r="K162" s="256" t="s">
        <v>194</v>
      </c>
      <c r="L162" s="98"/>
      <c r="M162" s="98"/>
      <c r="N162" s="98"/>
      <c r="O162" s="98"/>
      <c r="P162" s="96"/>
      <c r="Q162" s="96"/>
      <c r="R162" s="96"/>
      <c r="S162" s="96"/>
      <c r="T162" s="94"/>
      <c r="U162" s="94"/>
    </row>
    <row r="163" spans="1:21" ht="15" x14ac:dyDescent="0.25">
      <c r="A163" s="154"/>
      <c r="B163" s="154"/>
      <c r="C163" s="266"/>
      <c r="D163" s="267"/>
      <c r="E163" s="257"/>
      <c r="F163" s="268"/>
      <c r="G163" s="271" t="str">
        <f t="shared" si="4"/>
        <v/>
      </c>
      <c r="H163" s="269"/>
      <c r="I163" s="271" t="str">
        <f t="shared" si="5"/>
        <v/>
      </c>
      <c r="J163" s="270" t="s">
        <v>9</v>
      </c>
      <c r="K163" s="256" t="s">
        <v>194</v>
      </c>
      <c r="L163" s="98"/>
      <c r="M163" s="98"/>
      <c r="N163" s="98"/>
      <c r="O163" s="98"/>
      <c r="P163" s="96"/>
      <c r="Q163" s="96"/>
      <c r="R163" s="96"/>
      <c r="S163" s="96"/>
      <c r="T163" s="94"/>
      <c r="U163" s="94"/>
    </row>
    <row r="164" spans="1:21" ht="15" x14ac:dyDescent="0.25">
      <c r="A164" s="154"/>
      <c r="B164" s="154"/>
      <c r="C164" s="266"/>
      <c r="D164" s="267"/>
      <c r="E164" s="257"/>
      <c r="F164" s="268"/>
      <c r="G164" s="271" t="str">
        <f t="shared" si="4"/>
        <v/>
      </c>
      <c r="H164" s="269"/>
      <c r="I164" s="271" t="str">
        <f t="shared" si="5"/>
        <v/>
      </c>
      <c r="J164" s="270" t="s">
        <v>9</v>
      </c>
      <c r="K164" s="256" t="s">
        <v>194</v>
      </c>
      <c r="L164" s="98"/>
      <c r="M164" s="98"/>
      <c r="N164" s="98"/>
      <c r="O164" s="98"/>
      <c r="P164" s="96"/>
      <c r="Q164" s="96"/>
      <c r="R164" s="96"/>
      <c r="S164" s="96"/>
      <c r="T164" s="94"/>
      <c r="U164" s="94"/>
    </row>
    <row r="165" spans="1:21" ht="15" x14ac:dyDescent="0.25">
      <c r="A165" s="154"/>
      <c r="B165" s="154"/>
      <c r="C165" s="266"/>
      <c r="D165" s="267"/>
      <c r="E165" s="257"/>
      <c r="F165" s="268"/>
      <c r="G165" s="271" t="str">
        <f t="shared" si="4"/>
        <v/>
      </c>
      <c r="H165" s="269"/>
      <c r="I165" s="271" t="str">
        <f t="shared" si="5"/>
        <v/>
      </c>
      <c r="J165" s="270" t="s">
        <v>9</v>
      </c>
      <c r="K165" s="256" t="s">
        <v>194</v>
      </c>
      <c r="L165" s="98"/>
      <c r="M165" s="98"/>
      <c r="N165" s="98"/>
      <c r="O165" s="98"/>
      <c r="P165" s="96"/>
      <c r="Q165" s="96"/>
      <c r="R165" s="96"/>
      <c r="S165" s="96"/>
      <c r="T165" s="94"/>
      <c r="U165" s="94"/>
    </row>
    <row r="166" spans="1:21" ht="15" x14ac:dyDescent="0.25">
      <c r="A166" s="154"/>
      <c r="B166" s="154"/>
      <c r="C166" s="266"/>
      <c r="D166" s="267"/>
      <c r="E166" s="257"/>
      <c r="F166" s="268"/>
      <c r="G166" s="271" t="str">
        <f t="shared" si="4"/>
        <v/>
      </c>
      <c r="H166" s="269"/>
      <c r="I166" s="271" t="str">
        <f t="shared" si="5"/>
        <v/>
      </c>
      <c r="J166" s="270" t="s">
        <v>9</v>
      </c>
      <c r="K166" s="256" t="s">
        <v>194</v>
      </c>
      <c r="L166" s="98"/>
      <c r="M166" s="98"/>
      <c r="N166" s="98"/>
      <c r="O166" s="98"/>
      <c r="P166" s="96"/>
      <c r="Q166" s="96"/>
      <c r="R166" s="96"/>
      <c r="S166" s="96"/>
      <c r="T166" s="94"/>
      <c r="U166" s="94"/>
    </row>
    <row r="167" spans="1:21" ht="15" x14ac:dyDescent="0.25">
      <c r="A167" s="154"/>
      <c r="B167" s="154"/>
      <c r="C167" s="266"/>
      <c r="D167" s="267"/>
      <c r="E167" s="257"/>
      <c r="F167" s="268"/>
      <c r="G167" s="271" t="str">
        <f t="shared" si="4"/>
        <v/>
      </c>
      <c r="H167" s="269"/>
      <c r="I167" s="271" t="str">
        <f t="shared" si="5"/>
        <v/>
      </c>
      <c r="J167" s="270" t="s">
        <v>9</v>
      </c>
      <c r="K167" s="256" t="s">
        <v>194</v>
      </c>
      <c r="L167" s="98"/>
      <c r="M167" s="98"/>
      <c r="N167" s="98"/>
      <c r="O167" s="98"/>
      <c r="P167" s="96"/>
      <c r="Q167" s="96"/>
      <c r="R167" s="96"/>
      <c r="S167" s="96"/>
      <c r="T167" s="94"/>
      <c r="U167" s="94"/>
    </row>
    <row r="168" spans="1:21" ht="15" x14ac:dyDescent="0.25">
      <c r="A168" s="154"/>
      <c r="B168" s="154"/>
      <c r="C168" s="266"/>
      <c r="D168" s="267"/>
      <c r="E168" s="257"/>
      <c r="F168" s="268"/>
      <c r="G168" s="271" t="str">
        <f t="shared" si="4"/>
        <v/>
      </c>
      <c r="H168" s="269"/>
      <c r="I168" s="271" t="str">
        <f t="shared" si="5"/>
        <v/>
      </c>
      <c r="J168" s="270" t="s">
        <v>9</v>
      </c>
      <c r="K168" s="256" t="s">
        <v>194</v>
      </c>
      <c r="L168" s="98"/>
      <c r="M168" s="98"/>
      <c r="N168" s="98"/>
      <c r="O168" s="98"/>
      <c r="P168" s="96"/>
      <c r="Q168" s="96"/>
      <c r="R168" s="96"/>
      <c r="S168" s="96"/>
      <c r="T168" s="94"/>
      <c r="U168" s="94"/>
    </row>
    <row r="169" spans="1:21" ht="15" x14ac:dyDescent="0.25">
      <c r="A169" s="154"/>
      <c r="B169" s="154"/>
      <c r="C169" s="266"/>
      <c r="D169" s="267"/>
      <c r="E169" s="257"/>
      <c r="F169" s="268"/>
      <c r="G169" s="271" t="str">
        <f t="shared" si="4"/>
        <v/>
      </c>
      <c r="H169" s="269"/>
      <c r="I169" s="271" t="str">
        <f t="shared" si="5"/>
        <v/>
      </c>
      <c r="J169" s="270" t="s">
        <v>9</v>
      </c>
      <c r="K169" s="256" t="s">
        <v>194</v>
      </c>
      <c r="L169" s="98"/>
      <c r="M169" s="98"/>
      <c r="N169" s="98"/>
      <c r="O169" s="98"/>
      <c r="P169" s="96"/>
      <c r="Q169" s="96"/>
      <c r="R169" s="96"/>
      <c r="S169" s="96"/>
      <c r="T169" s="94"/>
      <c r="U169" s="94"/>
    </row>
    <row r="170" spans="1:21" ht="15" x14ac:dyDescent="0.25">
      <c r="A170" s="154"/>
      <c r="B170" s="154"/>
      <c r="C170" s="266"/>
      <c r="D170" s="267"/>
      <c r="E170" s="257"/>
      <c r="F170" s="268"/>
      <c r="G170" s="271" t="str">
        <f t="shared" si="4"/>
        <v/>
      </c>
      <c r="H170" s="269"/>
      <c r="I170" s="271" t="str">
        <f t="shared" si="5"/>
        <v/>
      </c>
      <c r="J170" s="270" t="s">
        <v>9</v>
      </c>
      <c r="K170" s="256" t="s">
        <v>194</v>
      </c>
      <c r="L170" s="98"/>
      <c r="M170" s="98"/>
      <c r="N170" s="98"/>
      <c r="O170" s="98"/>
      <c r="P170" s="96"/>
      <c r="Q170" s="96"/>
      <c r="R170" s="96"/>
      <c r="S170" s="96"/>
      <c r="T170" s="94"/>
      <c r="U170" s="94"/>
    </row>
    <row r="171" spans="1:21" ht="15" x14ac:dyDescent="0.25">
      <c r="A171" s="154"/>
      <c r="B171" s="154"/>
      <c r="C171" s="266"/>
      <c r="D171" s="267"/>
      <c r="E171" s="257"/>
      <c r="F171" s="268"/>
      <c r="G171" s="271" t="str">
        <f t="shared" si="4"/>
        <v/>
      </c>
      <c r="H171" s="269"/>
      <c r="I171" s="271" t="str">
        <f t="shared" si="5"/>
        <v/>
      </c>
      <c r="J171" s="270" t="s">
        <v>9</v>
      </c>
      <c r="K171" s="256" t="s">
        <v>194</v>
      </c>
      <c r="L171" s="98"/>
      <c r="M171" s="98"/>
      <c r="N171" s="98"/>
      <c r="O171" s="98"/>
      <c r="P171" s="96"/>
      <c r="Q171" s="96"/>
      <c r="R171" s="96"/>
      <c r="S171" s="96"/>
      <c r="T171" s="94"/>
      <c r="U171" s="94"/>
    </row>
    <row r="172" spans="1:21" ht="15" x14ac:dyDescent="0.25">
      <c r="A172" s="154"/>
      <c r="B172" s="154"/>
      <c r="C172" s="266"/>
      <c r="D172" s="267"/>
      <c r="E172" s="257"/>
      <c r="F172" s="268"/>
      <c r="G172" s="271" t="str">
        <f t="shared" si="4"/>
        <v/>
      </c>
      <c r="H172" s="269"/>
      <c r="I172" s="271" t="str">
        <f t="shared" si="5"/>
        <v/>
      </c>
      <c r="J172" s="270" t="s">
        <v>9</v>
      </c>
      <c r="K172" s="256" t="s">
        <v>194</v>
      </c>
      <c r="L172" s="98"/>
      <c r="M172" s="98"/>
      <c r="N172" s="98"/>
      <c r="O172" s="98"/>
      <c r="P172" s="96"/>
      <c r="Q172" s="96"/>
      <c r="R172" s="96"/>
      <c r="S172" s="96"/>
      <c r="T172" s="94"/>
      <c r="U172" s="94"/>
    </row>
    <row r="173" spans="1:21" ht="15" x14ac:dyDescent="0.25">
      <c r="A173" s="154"/>
      <c r="B173" s="154"/>
      <c r="C173" s="266"/>
      <c r="D173" s="267"/>
      <c r="E173" s="257"/>
      <c r="F173" s="268"/>
      <c r="G173" s="271" t="str">
        <f t="shared" si="4"/>
        <v/>
      </c>
      <c r="H173" s="269"/>
      <c r="I173" s="271" t="str">
        <f t="shared" si="5"/>
        <v/>
      </c>
      <c r="J173" s="270" t="s">
        <v>9</v>
      </c>
      <c r="K173" s="256" t="s">
        <v>194</v>
      </c>
      <c r="L173" s="98"/>
      <c r="M173" s="98"/>
      <c r="N173" s="98"/>
      <c r="O173" s="98"/>
      <c r="P173" s="96"/>
      <c r="Q173" s="96"/>
      <c r="R173" s="96"/>
      <c r="S173" s="96"/>
      <c r="T173" s="94"/>
      <c r="U173" s="94"/>
    </row>
    <row r="174" spans="1:21" ht="15" x14ac:dyDescent="0.25">
      <c r="A174" s="154"/>
      <c r="B174" s="154"/>
      <c r="C174" s="266"/>
      <c r="D174" s="267"/>
      <c r="E174" s="257"/>
      <c r="F174" s="268"/>
      <c r="G174" s="271" t="str">
        <f t="shared" si="4"/>
        <v/>
      </c>
      <c r="H174" s="269"/>
      <c r="I174" s="271" t="str">
        <f t="shared" si="5"/>
        <v/>
      </c>
      <c r="J174" s="270" t="s">
        <v>9</v>
      </c>
      <c r="K174" s="256" t="s">
        <v>194</v>
      </c>
      <c r="L174" s="98"/>
      <c r="M174" s="98"/>
      <c r="N174" s="98"/>
      <c r="O174" s="98"/>
      <c r="P174" s="96"/>
      <c r="Q174" s="96"/>
      <c r="R174" s="96"/>
      <c r="S174" s="96"/>
      <c r="T174" s="94"/>
      <c r="U174" s="94"/>
    </row>
    <row r="175" spans="1:21" ht="15" x14ac:dyDescent="0.25">
      <c r="A175" s="154"/>
      <c r="B175" s="154"/>
      <c r="C175" s="266"/>
      <c r="D175" s="267"/>
      <c r="E175" s="257"/>
      <c r="F175" s="268"/>
      <c r="G175" s="271" t="str">
        <f t="shared" si="4"/>
        <v/>
      </c>
      <c r="H175" s="269"/>
      <c r="I175" s="271" t="str">
        <f t="shared" si="5"/>
        <v/>
      </c>
      <c r="J175" s="270" t="s">
        <v>9</v>
      </c>
      <c r="K175" s="256" t="s">
        <v>194</v>
      </c>
      <c r="L175" s="98"/>
      <c r="M175" s="98"/>
      <c r="N175" s="98"/>
      <c r="O175" s="98"/>
      <c r="P175" s="96"/>
      <c r="Q175" s="96"/>
      <c r="R175" s="96"/>
      <c r="S175" s="96"/>
      <c r="T175" s="94"/>
      <c r="U175" s="94"/>
    </row>
    <row r="176" spans="1:21" ht="15" x14ac:dyDescent="0.25">
      <c r="A176" s="154"/>
      <c r="B176" s="154"/>
      <c r="C176" s="266"/>
      <c r="D176" s="267"/>
      <c r="E176" s="257"/>
      <c r="F176" s="268"/>
      <c r="G176" s="271" t="str">
        <f t="shared" si="4"/>
        <v/>
      </c>
      <c r="H176" s="269"/>
      <c r="I176" s="271" t="str">
        <f t="shared" si="5"/>
        <v/>
      </c>
      <c r="J176" s="270" t="s">
        <v>9</v>
      </c>
      <c r="K176" s="256" t="s">
        <v>194</v>
      </c>
      <c r="L176" s="98"/>
      <c r="M176" s="98"/>
      <c r="N176" s="98"/>
      <c r="O176" s="98"/>
      <c r="P176" s="96"/>
      <c r="Q176" s="96"/>
      <c r="R176" s="96"/>
      <c r="S176" s="96"/>
      <c r="T176" s="94"/>
      <c r="U176" s="94"/>
    </row>
    <row r="177" spans="1:21" ht="15" x14ac:dyDescent="0.25">
      <c r="A177" s="154"/>
      <c r="B177" s="154"/>
      <c r="C177" s="266"/>
      <c r="D177" s="267"/>
      <c r="E177" s="257"/>
      <c r="F177" s="268"/>
      <c r="G177" s="271" t="str">
        <f t="shared" si="4"/>
        <v/>
      </c>
      <c r="H177" s="269"/>
      <c r="I177" s="271" t="str">
        <f t="shared" si="5"/>
        <v/>
      </c>
      <c r="J177" s="270" t="s">
        <v>9</v>
      </c>
      <c r="K177" s="256" t="s">
        <v>194</v>
      </c>
      <c r="L177" s="98"/>
      <c r="M177" s="98"/>
      <c r="N177" s="98"/>
      <c r="O177" s="98"/>
      <c r="P177" s="96"/>
      <c r="Q177" s="96"/>
      <c r="R177" s="96"/>
      <c r="S177" s="96"/>
      <c r="T177" s="94"/>
      <c r="U177" s="94"/>
    </row>
    <row r="178" spans="1:21" ht="15" x14ac:dyDescent="0.25">
      <c r="A178" s="154"/>
      <c r="B178" s="154"/>
      <c r="C178" s="266"/>
      <c r="D178" s="267"/>
      <c r="E178" s="257"/>
      <c r="F178" s="268"/>
      <c r="G178" s="271" t="str">
        <f t="shared" si="4"/>
        <v/>
      </c>
      <c r="H178" s="269"/>
      <c r="I178" s="271" t="str">
        <f t="shared" si="5"/>
        <v/>
      </c>
      <c r="J178" s="270" t="s">
        <v>9</v>
      </c>
      <c r="K178" s="256" t="s">
        <v>194</v>
      </c>
      <c r="L178" s="98"/>
      <c r="M178" s="98"/>
      <c r="N178" s="98"/>
      <c r="O178" s="98"/>
      <c r="P178" s="96"/>
      <c r="Q178" s="96"/>
      <c r="R178" s="96"/>
      <c r="S178" s="96"/>
      <c r="T178" s="94"/>
      <c r="U178" s="94"/>
    </row>
    <row r="179" spans="1:21" ht="15" x14ac:dyDescent="0.25">
      <c r="A179" s="154"/>
      <c r="B179" s="154"/>
      <c r="C179" s="266"/>
      <c r="D179" s="267"/>
      <c r="E179" s="257"/>
      <c r="F179" s="268"/>
      <c r="G179" s="271" t="str">
        <f t="shared" si="4"/>
        <v/>
      </c>
      <c r="H179" s="269"/>
      <c r="I179" s="271" t="str">
        <f t="shared" si="5"/>
        <v/>
      </c>
      <c r="J179" s="270" t="s">
        <v>9</v>
      </c>
      <c r="K179" s="256" t="s">
        <v>194</v>
      </c>
      <c r="L179" s="98"/>
      <c r="M179" s="98"/>
      <c r="N179" s="98"/>
      <c r="O179" s="98"/>
      <c r="P179" s="96"/>
      <c r="Q179" s="96"/>
      <c r="R179" s="96"/>
      <c r="S179" s="96"/>
      <c r="T179" s="94"/>
      <c r="U179" s="94"/>
    </row>
    <row r="180" spans="1:21" ht="15" x14ac:dyDescent="0.25">
      <c r="A180" s="154"/>
      <c r="B180" s="154"/>
      <c r="C180" s="266"/>
      <c r="D180" s="267"/>
      <c r="E180" s="257"/>
      <c r="F180" s="268"/>
      <c r="G180" s="271" t="str">
        <f t="shared" si="4"/>
        <v/>
      </c>
      <c r="H180" s="269"/>
      <c r="I180" s="271" t="str">
        <f t="shared" si="5"/>
        <v/>
      </c>
      <c r="J180" s="270" t="s">
        <v>9</v>
      </c>
      <c r="K180" s="256" t="s">
        <v>194</v>
      </c>
      <c r="L180" s="98"/>
      <c r="M180" s="98"/>
      <c r="N180" s="98"/>
      <c r="O180" s="98"/>
      <c r="P180" s="96"/>
      <c r="Q180" s="96"/>
      <c r="R180" s="96"/>
      <c r="S180" s="96"/>
      <c r="T180" s="94"/>
      <c r="U180" s="94"/>
    </row>
    <row r="181" spans="1:21" ht="15" x14ac:dyDescent="0.25">
      <c r="A181" s="154"/>
      <c r="B181" s="154"/>
      <c r="C181" s="266"/>
      <c r="D181" s="267"/>
      <c r="E181" s="257"/>
      <c r="F181" s="268"/>
      <c r="G181" s="271" t="str">
        <f t="shared" si="4"/>
        <v/>
      </c>
      <c r="H181" s="269"/>
      <c r="I181" s="271" t="str">
        <f t="shared" si="5"/>
        <v/>
      </c>
      <c r="J181" s="270" t="s">
        <v>9</v>
      </c>
      <c r="K181" s="256" t="s">
        <v>194</v>
      </c>
      <c r="L181" s="98"/>
      <c r="M181" s="98"/>
      <c r="N181" s="98"/>
      <c r="O181" s="98"/>
      <c r="P181" s="96"/>
      <c r="Q181" s="96"/>
      <c r="R181" s="96"/>
      <c r="S181" s="96"/>
      <c r="T181" s="94"/>
      <c r="U181" s="94"/>
    </row>
    <row r="182" spans="1:21" ht="15" x14ac:dyDescent="0.25">
      <c r="A182" s="154"/>
      <c r="B182" s="154"/>
      <c r="C182" s="266"/>
      <c r="D182" s="267"/>
      <c r="E182" s="257"/>
      <c r="F182" s="268"/>
      <c r="G182" s="271" t="str">
        <f t="shared" si="4"/>
        <v/>
      </c>
      <c r="H182" s="269"/>
      <c r="I182" s="271" t="str">
        <f t="shared" si="5"/>
        <v/>
      </c>
      <c r="J182" s="270" t="s">
        <v>9</v>
      </c>
      <c r="K182" s="256" t="s">
        <v>194</v>
      </c>
      <c r="L182" s="98"/>
      <c r="M182" s="98"/>
      <c r="N182" s="98"/>
      <c r="O182" s="98"/>
      <c r="P182" s="96"/>
      <c r="Q182" s="96"/>
      <c r="R182" s="96"/>
      <c r="S182" s="96"/>
      <c r="T182" s="94"/>
      <c r="U182" s="94"/>
    </row>
    <row r="183" spans="1:21" ht="15" x14ac:dyDescent="0.25">
      <c r="A183" s="154"/>
      <c r="B183" s="154"/>
      <c r="C183" s="266"/>
      <c r="D183" s="267"/>
      <c r="E183" s="257"/>
      <c r="F183" s="268"/>
      <c r="G183" s="271" t="str">
        <f t="shared" si="4"/>
        <v/>
      </c>
      <c r="H183" s="269"/>
      <c r="I183" s="271" t="str">
        <f t="shared" si="5"/>
        <v/>
      </c>
      <c r="J183" s="270" t="s">
        <v>9</v>
      </c>
      <c r="K183" s="256" t="s">
        <v>194</v>
      </c>
      <c r="L183" s="98"/>
      <c r="M183" s="98"/>
      <c r="N183" s="98"/>
      <c r="O183" s="98"/>
      <c r="P183" s="96"/>
      <c r="Q183" s="96"/>
      <c r="R183" s="96"/>
      <c r="S183" s="96"/>
      <c r="T183" s="94"/>
      <c r="U183" s="94"/>
    </row>
    <row r="184" spans="1:21" ht="15" x14ac:dyDescent="0.25">
      <c r="A184" s="154"/>
      <c r="B184" s="154"/>
      <c r="C184" s="266"/>
      <c r="D184" s="267"/>
      <c r="E184" s="257"/>
      <c r="F184" s="268"/>
      <c r="G184" s="271" t="str">
        <f t="shared" si="4"/>
        <v/>
      </c>
      <c r="H184" s="269"/>
      <c r="I184" s="271" t="str">
        <f t="shared" si="5"/>
        <v/>
      </c>
      <c r="J184" s="270" t="s">
        <v>9</v>
      </c>
      <c r="K184" s="256" t="s">
        <v>194</v>
      </c>
      <c r="L184" s="98"/>
      <c r="M184" s="98"/>
      <c r="N184" s="98"/>
      <c r="O184" s="98"/>
      <c r="P184" s="96"/>
      <c r="Q184" s="96"/>
      <c r="R184" s="96"/>
      <c r="S184" s="96"/>
      <c r="T184" s="94"/>
      <c r="U184" s="94"/>
    </row>
    <row r="185" spans="1:21" ht="15" x14ac:dyDescent="0.25">
      <c r="A185" s="154"/>
      <c r="B185" s="154"/>
      <c r="C185" s="266"/>
      <c r="D185" s="267"/>
      <c r="E185" s="257"/>
      <c r="F185" s="268"/>
      <c r="G185" s="271" t="str">
        <f t="shared" si="4"/>
        <v/>
      </c>
      <c r="H185" s="269"/>
      <c r="I185" s="271" t="str">
        <f t="shared" si="5"/>
        <v/>
      </c>
      <c r="J185" s="270" t="s">
        <v>9</v>
      </c>
      <c r="K185" s="256" t="s">
        <v>194</v>
      </c>
      <c r="L185" s="98"/>
      <c r="M185" s="98"/>
      <c r="N185" s="98"/>
      <c r="O185" s="98"/>
      <c r="P185" s="96"/>
      <c r="Q185" s="96"/>
      <c r="R185" s="96"/>
      <c r="S185" s="96"/>
      <c r="T185" s="94"/>
      <c r="U185" s="94"/>
    </row>
    <row r="186" spans="1:21" ht="15" x14ac:dyDescent="0.25">
      <c r="A186" s="154"/>
      <c r="B186" s="154"/>
      <c r="C186" s="266"/>
      <c r="D186" s="267"/>
      <c r="E186" s="257"/>
      <c r="F186" s="268"/>
      <c r="G186" s="271" t="str">
        <f t="shared" si="4"/>
        <v/>
      </c>
      <c r="H186" s="269"/>
      <c r="I186" s="271" t="str">
        <f t="shared" si="5"/>
        <v/>
      </c>
      <c r="J186" s="270" t="s">
        <v>9</v>
      </c>
      <c r="K186" s="256" t="s">
        <v>194</v>
      </c>
      <c r="L186" s="98"/>
      <c r="M186" s="98"/>
      <c r="N186" s="98"/>
      <c r="O186" s="98"/>
      <c r="P186" s="96"/>
      <c r="Q186" s="96"/>
      <c r="R186" s="96"/>
      <c r="S186" s="96"/>
      <c r="T186" s="94"/>
      <c r="U186" s="94"/>
    </row>
    <row r="187" spans="1:21" ht="15" x14ac:dyDescent="0.25">
      <c r="A187" s="154"/>
      <c r="B187" s="154"/>
      <c r="C187" s="266"/>
      <c r="D187" s="267"/>
      <c r="E187" s="257"/>
      <c r="F187" s="268"/>
      <c r="G187" s="271" t="str">
        <f t="shared" si="4"/>
        <v/>
      </c>
      <c r="H187" s="269"/>
      <c r="I187" s="271" t="str">
        <f t="shared" si="5"/>
        <v/>
      </c>
      <c r="J187" s="270" t="s">
        <v>9</v>
      </c>
      <c r="K187" s="256" t="s">
        <v>194</v>
      </c>
      <c r="L187" s="98"/>
      <c r="M187" s="98"/>
      <c r="N187" s="98"/>
      <c r="O187" s="98"/>
      <c r="P187" s="96"/>
      <c r="Q187" s="96"/>
      <c r="R187" s="96"/>
      <c r="S187" s="96"/>
      <c r="T187" s="94"/>
      <c r="U187" s="94"/>
    </row>
    <row r="188" spans="1:21" ht="15" x14ac:dyDescent="0.25">
      <c r="A188" s="154"/>
      <c r="B188" s="154"/>
      <c r="C188" s="266"/>
      <c r="D188" s="267"/>
      <c r="E188" s="257"/>
      <c r="F188" s="268"/>
      <c r="G188" s="271" t="str">
        <f t="shared" si="4"/>
        <v/>
      </c>
      <c r="H188" s="269"/>
      <c r="I188" s="271" t="str">
        <f t="shared" si="5"/>
        <v/>
      </c>
      <c r="J188" s="270" t="s">
        <v>9</v>
      </c>
      <c r="K188" s="256" t="s">
        <v>194</v>
      </c>
      <c r="L188" s="98"/>
      <c r="M188" s="98"/>
      <c r="N188" s="98"/>
      <c r="O188" s="98"/>
      <c r="P188" s="96"/>
      <c r="Q188" s="96"/>
      <c r="R188" s="96"/>
      <c r="S188" s="96"/>
      <c r="T188" s="94"/>
      <c r="U188" s="94"/>
    </row>
    <row r="189" spans="1:21" ht="15" x14ac:dyDescent="0.25">
      <c r="A189" s="154"/>
      <c r="B189" s="154"/>
      <c r="C189" s="266"/>
      <c r="D189" s="267"/>
      <c r="E189" s="257"/>
      <c r="F189" s="268"/>
      <c r="G189" s="271" t="str">
        <f t="shared" si="4"/>
        <v/>
      </c>
      <c r="H189" s="269"/>
      <c r="I189" s="271" t="str">
        <f t="shared" si="5"/>
        <v/>
      </c>
      <c r="J189" s="270" t="s">
        <v>9</v>
      </c>
      <c r="K189" s="256" t="s">
        <v>194</v>
      </c>
      <c r="L189" s="98"/>
      <c r="M189" s="98"/>
      <c r="N189" s="98"/>
      <c r="O189" s="98"/>
      <c r="P189" s="96"/>
      <c r="Q189" s="96"/>
      <c r="R189" s="96"/>
      <c r="S189" s="96"/>
      <c r="T189" s="94"/>
      <c r="U189" s="94"/>
    </row>
    <row r="190" spans="1:21" ht="15" x14ac:dyDescent="0.25">
      <c r="A190" s="154"/>
      <c r="B190" s="154"/>
      <c r="C190" s="266"/>
      <c r="D190" s="267"/>
      <c r="E190" s="257"/>
      <c r="F190" s="268"/>
      <c r="G190" s="271" t="str">
        <f t="shared" si="4"/>
        <v/>
      </c>
      <c r="H190" s="269"/>
      <c r="I190" s="271" t="str">
        <f t="shared" si="5"/>
        <v/>
      </c>
      <c r="J190" s="270" t="s">
        <v>9</v>
      </c>
      <c r="K190" s="256" t="s">
        <v>194</v>
      </c>
      <c r="L190" s="98"/>
      <c r="M190" s="98"/>
      <c r="N190" s="98"/>
      <c r="O190" s="98"/>
      <c r="P190" s="96"/>
      <c r="Q190" s="96"/>
      <c r="R190" s="96"/>
      <c r="S190" s="96"/>
      <c r="T190" s="94"/>
      <c r="U190" s="94"/>
    </row>
    <row r="191" spans="1:21" ht="15" x14ac:dyDescent="0.25">
      <c r="A191" s="154"/>
      <c r="B191" s="154"/>
      <c r="C191" s="266"/>
      <c r="D191" s="267"/>
      <c r="E191" s="257"/>
      <c r="F191" s="268"/>
      <c r="G191" s="271" t="str">
        <f t="shared" si="4"/>
        <v/>
      </c>
      <c r="H191" s="269"/>
      <c r="I191" s="271" t="str">
        <f t="shared" si="5"/>
        <v/>
      </c>
      <c r="J191" s="270" t="s">
        <v>9</v>
      </c>
      <c r="K191" s="256" t="s">
        <v>194</v>
      </c>
      <c r="L191" s="98"/>
      <c r="M191" s="98"/>
      <c r="N191" s="98"/>
      <c r="O191" s="98"/>
      <c r="P191" s="96"/>
      <c r="Q191" s="96"/>
      <c r="R191" s="96"/>
      <c r="S191" s="96"/>
      <c r="T191" s="94"/>
      <c r="U191" s="94"/>
    </row>
    <row r="192" spans="1:21" ht="15" x14ac:dyDescent="0.25">
      <c r="A192" s="154"/>
      <c r="B192" s="154"/>
      <c r="C192" s="266"/>
      <c r="D192" s="267"/>
      <c r="E192" s="257"/>
      <c r="F192" s="268"/>
      <c r="G192" s="271" t="str">
        <f t="shared" si="4"/>
        <v/>
      </c>
      <c r="H192" s="269"/>
      <c r="I192" s="271" t="str">
        <f t="shared" si="5"/>
        <v/>
      </c>
      <c r="J192" s="270" t="s">
        <v>9</v>
      </c>
      <c r="K192" s="256" t="s">
        <v>194</v>
      </c>
      <c r="L192" s="98"/>
      <c r="M192" s="98"/>
      <c r="N192" s="98"/>
      <c r="O192" s="98"/>
      <c r="P192" s="96"/>
      <c r="Q192" s="96"/>
      <c r="R192" s="96"/>
      <c r="S192" s="96"/>
      <c r="T192" s="94"/>
      <c r="U192" s="94"/>
    </row>
    <row r="193" spans="1:21" ht="15" x14ac:dyDescent="0.25">
      <c r="A193" s="154"/>
      <c r="B193" s="154"/>
      <c r="C193" s="266"/>
      <c r="D193" s="267"/>
      <c r="E193" s="257"/>
      <c r="F193" s="268"/>
      <c r="G193" s="271" t="str">
        <f t="shared" si="4"/>
        <v/>
      </c>
      <c r="H193" s="269"/>
      <c r="I193" s="271" t="str">
        <f t="shared" si="5"/>
        <v/>
      </c>
      <c r="J193" s="270" t="s">
        <v>9</v>
      </c>
      <c r="K193" s="256" t="s">
        <v>194</v>
      </c>
      <c r="L193" s="98"/>
      <c r="M193" s="98"/>
      <c r="N193" s="98"/>
      <c r="O193" s="98"/>
      <c r="P193" s="96"/>
      <c r="Q193" s="96"/>
      <c r="R193" s="96"/>
      <c r="S193" s="96"/>
      <c r="T193" s="94"/>
      <c r="U193" s="94"/>
    </row>
    <row r="194" spans="1:21" ht="15" x14ac:dyDescent="0.25">
      <c r="A194" s="154"/>
      <c r="B194" s="154"/>
      <c r="C194" s="266"/>
      <c r="D194" s="267"/>
      <c r="E194" s="257"/>
      <c r="F194" s="268"/>
      <c r="G194" s="271" t="str">
        <f t="shared" si="4"/>
        <v/>
      </c>
      <c r="H194" s="269"/>
      <c r="I194" s="271" t="str">
        <f t="shared" si="5"/>
        <v/>
      </c>
      <c r="J194" s="270" t="s">
        <v>9</v>
      </c>
      <c r="K194" s="256" t="s">
        <v>194</v>
      </c>
      <c r="L194" s="98"/>
      <c r="M194" s="98"/>
      <c r="N194" s="98"/>
      <c r="O194" s="98"/>
      <c r="P194" s="96"/>
      <c r="Q194" s="96"/>
      <c r="R194" s="96"/>
      <c r="S194" s="96"/>
      <c r="T194" s="94"/>
      <c r="U194" s="94"/>
    </row>
    <row r="195" spans="1:21" ht="15" x14ac:dyDescent="0.25">
      <c r="A195" s="154"/>
      <c r="B195" s="154"/>
      <c r="C195" s="266"/>
      <c r="D195" s="267"/>
      <c r="E195" s="257"/>
      <c r="F195" s="268"/>
      <c r="G195" s="271" t="str">
        <f t="shared" si="4"/>
        <v/>
      </c>
      <c r="H195" s="269"/>
      <c r="I195" s="271" t="str">
        <f t="shared" si="5"/>
        <v/>
      </c>
      <c r="J195" s="270" t="s">
        <v>9</v>
      </c>
      <c r="K195" s="256" t="s">
        <v>194</v>
      </c>
      <c r="L195" s="98"/>
      <c r="M195" s="98"/>
      <c r="N195" s="98"/>
      <c r="O195" s="98"/>
      <c r="P195" s="96"/>
      <c r="Q195" s="96"/>
      <c r="R195" s="96"/>
      <c r="S195" s="96"/>
      <c r="T195" s="94"/>
      <c r="U195" s="94"/>
    </row>
    <row r="196" spans="1:21" ht="15" x14ac:dyDescent="0.25">
      <c r="A196" s="154"/>
      <c r="B196" s="154"/>
      <c r="C196" s="266"/>
      <c r="D196" s="267"/>
      <c r="E196" s="257"/>
      <c r="F196" s="268"/>
      <c r="G196" s="271" t="str">
        <f t="shared" si="4"/>
        <v/>
      </c>
      <c r="H196" s="269"/>
      <c r="I196" s="271" t="str">
        <f t="shared" si="5"/>
        <v/>
      </c>
      <c r="J196" s="270" t="s">
        <v>9</v>
      </c>
      <c r="K196" s="256" t="s">
        <v>194</v>
      </c>
      <c r="L196" s="98"/>
      <c r="M196" s="98"/>
      <c r="N196" s="98"/>
      <c r="O196" s="98"/>
      <c r="P196" s="96"/>
      <c r="Q196" s="96"/>
      <c r="R196" s="96"/>
      <c r="S196" s="96"/>
      <c r="T196" s="94"/>
      <c r="U196" s="94"/>
    </row>
    <row r="197" spans="1:21" ht="15" x14ac:dyDescent="0.25">
      <c r="A197" s="154"/>
      <c r="B197" s="154"/>
      <c r="C197" s="266"/>
      <c r="D197" s="267"/>
      <c r="E197" s="257"/>
      <c r="F197" s="268"/>
      <c r="G197" s="271" t="str">
        <f t="shared" si="4"/>
        <v/>
      </c>
      <c r="H197" s="269"/>
      <c r="I197" s="271" t="str">
        <f t="shared" si="5"/>
        <v/>
      </c>
      <c r="J197" s="270" t="s">
        <v>9</v>
      </c>
      <c r="K197" s="256" t="s">
        <v>194</v>
      </c>
      <c r="L197" s="98"/>
      <c r="M197" s="98"/>
      <c r="N197" s="98"/>
      <c r="O197" s="98"/>
      <c r="P197" s="96"/>
      <c r="Q197" s="96"/>
      <c r="R197" s="96"/>
      <c r="S197" s="96"/>
      <c r="T197" s="94"/>
      <c r="U197" s="94"/>
    </row>
    <row r="198" spans="1:21" ht="15" x14ac:dyDescent="0.25">
      <c r="A198" s="154"/>
      <c r="B198" s="154"/>
      <c r="C198" s="266"/>
      <c r="D198" s="267"/>
      <c r="E198" s="257"/>
      <c r="F198" s="268"/>
      <c r="G198" s="271" t="str">
        <f t="shared" si="4"/>
        <v/>
      </c>
      <c r="H198" s="269"/>
      <c r="I198" s="271" t="str">
        <f t="shared" si="5"/>
        <v/>
      </c>
      <c r="J198" s="270" t="s">
        <v>9</v>
      </c>
      <c r="K198" s="256" t="s">
        <v>194</v>
      </c>
      <c r="L198" s="98"/>
      <c r="M198" s="98"/>
      <c r="N198" s="98"/>
      <c r="O198" s="98"/>
      <c r="P198" s="96"/>
      <c r="Q198" s="96"/>
      <c r="R198" s="96"/>
      <c r="S198" s="96"/>
      <c r="T198" s="94"/>
      <c r="U198" s="94"/>
    </row>
    <row r="199" spans="1:21" ht="15" x14ac:dyDescent="0.25">
      <c r="A199" s="154"/>
      <c r="B199" s="154"/>
      <c r="C199" s="266"/>
      <c r="D199" s="267"/>
      <c r="E199" s="257"/>
      <c r="F199" s="268"/>
      <c r="G199" s="271" t="str">
        <f t="shared" si="4"/>
        <v/>
      </c>
      <c r="H199" s="269"/>
      <c r="I199" s="271" t="str">
        <f t="shared" si="5"/>
        <v/>
      </c>
      <c r="J199" s="270" t="s">
        <v>9</v>
      </c>
      <c r="K199" s="256" t="s">
        <v>194</v>
      </c>
      <c r="L199" s="98"/>
      <c r="M199" s="98"/>
      <c r="N199" s="98"/>
      <c r="O199" s="98"/>
      <c r="P199" s="96"/>
      <c r="Q199" s="96"/>
      <c r="R199" s="96"/>
      <c r="S199" s="96"/>
      <c r="T199" s="94"/>
      <c r="U199" s="94"/>
    </row>
    <row r="200" spans="1:21" ht="15" x14ac:dyDescent="0.25">
      <c r="A200" s="154"/>
      <c r="B200" s="154"/>
      <c r="C200" s="266"/>
      <c r="D200" s="267"/>
      <c r="E200" s="257"/>
      <c r="F200" s="268"/>
      <c r="G200" s="271" t="str">
        <f t="shared" si="4"/>
        <v/>
      </c>
      <c r="H200" s="269"/>
      <c r="I200" s="271" t="str">
        <f t="shared" si="5"/>
        <v/>
      </c>
      <c r="J200" s="270" t="s">
        <v>9</v>
      </c>
      <c r="K200" s="256" t="s">
        <v>194</v>
      </c>
      <c r="L200" s="98"/>
      <c r="M200" s="98"/>
      <c r="N200" s="98"/>
      <c r="O200" s="98"/>
      <c r="P200" s="96"/>
      <c r="Q200" s="96"/>
      <c r="R200" s="96"/>
      <c r="S200" s="96"/>
      <c r="T200" s="94"/>
      <c r="U200" s="94"/>
    </row>
    <row r="201" spans="1:21" ht="15" x14ac:dyDescent="0.25">
      <c r="A201" s="154"/>
      <c r="B201" s="154"/>
      <c r="C201" s="266"/>
      <c r="D201" s="267"/>
      <c r="E201" s="257"/>
      <c r="F201" s="268"/>
      <c r="G201" s="271" t="str">
        <f t="shared" si="4"/>
        <v/>
      </c>
      <c r="H201" s="269"/>
      <c r="I201" s="271" t="str">
        <f t="shared" si="5"/>
        <v/>
      </c>
      <c r="J201" s="270" t="s">
        <v>9</v>
      </c>
      <c r="K201" s="256" t="s">
        <v>194</v>
      </c>
      <c r="L201" s="98"/>
      <c r="M201" s="98"/>
      <c r="N201" s="98"/>
      <c r="O201" s="98"/>
      <c r="P201" s="96"/>
      <c r="Q201" s="96"/>
      <c r="R201" s="96"/>
      <c r="S201" s="96"/>
      <c r="T201" s="94"/>
      <c r="U201" s="94"/>
    </row>
    <row r="202" spans="1:21" ht="15" x14ac:dyDescent="0.25">
      <c r="A202" s="154"/>
      <c r="B202" s="154"/>
      <c r="C202" s="266"/>
      <c r="D202" s="267"/>
      <c r="E202" s="257"/>
      <c r="F202" s="268"/>
      <c r="G202" s="271" t="str">
        <f t="shared" si="4"/>
        <v/>
      </c>
      <c r="H202" s="269"/>
      <c r="I202" s="271" t="str">
        <f t="shared" si="5"/>
        <v/>
      </c>
      <c r="J202" s="270" t="s">
        <v>9</v>
      </c>
      <c r="K202" s="256" t="s">
        <v>194</v>
      </c>
      <c r="L202" s="98"/>
      <c r="M202" s="98"/>
      <c r="N202" s="98"/>
      <c r="O202" s="98"/>
      <c r="P202" s="96"/>
      <c r="Q202" s="96"/>
      <c r="R202" s="96"/>
      <c r="S202" s="96"/>
      <c r="T202" s="94"/>
      <c r="U202" s="94"/>
    </row>
    <row r="203" spans="1:21" ht="15" x14ac:dyDescent="0.25">
      <c r="A203" s="154"/>
      <c r="B203" s="154"/>
      <c r="C203" s="266"/>
      <c r="D203" s="267"/>
      <c r="E203" s="257"/>
      <c r="F203" s="268"/>
      <c r="G203" s="271" t="str">
        <f t="shared" si="4"/>
        <v/>
      </c>
      <c r="H203" s="269"/>
      <c r="I203" s="271" t="str">
        <f t="shared" si="5"/>
        <v/>
      </c>
      <c r="J203" s="270" t="s">
        <v>9</v>
      </c>
      <c r="K203" s="256" t="s">
        <v>194</v>
      </c>
      <c r="L203" s="98"/>
      <c r="M203" s="98"/>
      <c r="N203" s="98"/>
      <c r="O203" s="98"/>
      <c r="P203" s="96"/>
      <c r="Q203" s="96"/>
      <c r="R203" s="96"/>
      <c r="S203" s="96"/>
      <c r="T203" s="94"/>
      <c r="U203" s="94"/>
    </row>
    <row r="204" spans="1:21" ht="15" x14ac:dyDescent="0.25">
      <c r="A204" s="154"/>
      <c r="B204" s="154"/>
      <c r="C204" s="266"/>
      <c r="D204" s="267"/>
      <c r="E204" s="257"/>
      <c r="F204" s="268"/>
      <c r="G204" s="271" t="str">
        <f t="shared" si="4"/>
        <v/>
      </c>
      <c r="H204" s="269"/>
      <c r="I204" s="271" t="str">
        <f t="shared" si="5"/>
        <v/>
      </c>
      <c r="J204" s="270" t="s">
        <v>9</v>
      </c>
      <c r="K204" s="256" t="s">
        <v>194</v>
      </c>
      <c r="L204" s="98"/>
      <c r="M204" s="98"/>
      <c r="N204" s="98"/>
      <c r="O204" s="98"/>
      <c r="P204" s="96"/>
      <c r="Q204" s="96"/>
      <c r="R204" s="96"/>
      <c r="S204" s="96"/>
      <c r="T204" s="94"/>
      <c r="U204" s="94"/>
    </row>
    <row r="205" spans="1:21" ht="15" x14ac:dyDescent="0.25">
      <c r="A205" s="154"/>
      <c r="B205" s="154"/>
      <c r="C205" s="266"/>
      <c r="D205" s="267"/>
      <c r="E205" s="257"/>
      <c r="F205" s="268"/>
      <c r="G205" s="271" t="str">
        <f t="shared" ref="G205:G268" si="6">IF(F205/par_TS_brutto&lt;&gt;0,ROUND(F205/par_TS_brutto,4),"")</f>
        <v/>
      </c>
      <c r="H205" s="269"/>
      <c r="I205" s="271" t="str">
        <f t="shared" si="5"/>
        <v/>
      </c>
      <c r="J205" s="270" t="s">
        <v>9</v>
      </c>
      <c r="K205" s="256" t="s">
        <v>194</v>
      </c>
      <c r="L205" s="98"/>
      <c r="M205" s="98"/>
      <c r="N205" s="98"/>
      <c r="O205" s="98"/>
      <c r="P205" s="96"/>
      <c r="Q205" s="96"/>
      <c r="R205" s="96"/>
      <c r="S205" s="96"/>
      <c r="T205" s="94"/>
      <c r="U205" s="94"/>
    </row>
    <row r="206" spans="1:21" ht="15" x14ac:dyDescent="0.25">
      <c r="A206" s="154"/>
      <c r="B206" s="154"/>
      <c r="C206" s="266"/>
      <c r="D206" s="267"/>
      <c r="E206" s="257"/>
      <c r="F206" s="268"/>
      <c r="G206" s="271" t="str">
        <f t="shared" si="6"/>
        <v/>
      </c>
      <c r="H206" s="269"/>
      <c r="I206" s="271" t="str">
        <f t="shared" ref="I206:I269" si="7">IFERROR(ROUND(F206/H206,4),"")</f>
        <v/>
      </c>
      <c r="J206" s="270" t="s">
        <v>9</v>
      </c>
      <c r="K206" s="256" t="s">
        <v>194</v>
      </c>
      <c r="L206" s="98"/>
      <c r="M206" s="98"/>
      <c r="N206" s="98"/>
      <c r="O206" s="98"/>
      <c r="P206" s="96"/>
      <c r="Q206" s="96"/>
      <c r="R206" s="96"/>
      <c r="S206" s="96"/>
      <c r="T206" s="94"/>
      <c r="U206" s="94"/>
    </row>
    <row r="207" spans="1:21" ht="15" x14ac:dyDescent="0.25">
      <c r="A207" s="154"/>
      <c r="B207" s="154"/>
      <c r="C207" s="266"/>
      <c r="D207" s="267"/>
      <c r="E207" s="257"/>
      <c r="F207" s="268"/>
      <c r="G207" s="271" t="str">
        <f t="shared" si="6"/>
        <v/>
      </c>
      <c r="H207" s="269"/>
      <c r="I207" s="271" t="str">
        <f t="shared" si="7"/>
        <v/>
      </c>
      <c r="J207" s="270" t="s">
        <v>9</v>
      </c>
      <c r="K207" s="256" t="s">
        <v>194</v>
      </c>
      <c r="L207" s="98"/>
      <c r="M207" s="98"/>
      <c r="N207" s="98"/>
      <c r="O207" s="98"/>
      <c r="P207" s="96"/>
      <c r="Q207" s="96"/>
      <c r="R207" s="96"/>
      <c r="S207" s="96"/>
      <c r="T207" s="94"/>
      <c r="U207" s="94"/>
    </row>
    <row r="208" spans="1:21" ht="15" x14ac:dyDescent="0.25">
      <c r="A208" s="154"/>
      <c r="B208" s="154"/>
      <c r="C208" s="266"/>
      <c r="D208" s="267"/>
      <c r="E208" s="257"/>
      <c r="F208" s="268"/>
      <c r="G208" s="271" t="str">
        <f t="shared" si="6"/>
        <v/>
      </c>
      <c r="H208" s="269"/>
      <c r="I208" s="271" t="str">
        <f t="shared" si="7"/>
        <v/>
      </c>
      <c r="J208" s="270" t="s">
        <v>9</v>
      </c>
      <c r="K208" s="256" t="s">
        <v>194</v>
      </c>
      <c r="L208" s="98"/>
      <c r="M208" s="98"/>
      <c r="N208" s="98"/>
      <c r="O208" s="98"/>
      <c r="P208" s="96"/>
      <c r="Q208" s="96"/>
      <c r="R208" s="96"/>
      <c r="S208" s="96"/>
      <c r="T208" s="94"/>
      <c r="U208" s="94"/>
    </row>
    <row r="209" spans="1:21" ht="15" x14ac:dyDescent="0.25">
      <c r="A209" s="154"/>
      <c r="B209" s="154"/>
      <c r="C209" s="266"/>
      <c r="D209" s="267"/>
      <c r="E209" s="257"/>
      <c r="F209" s="268"/>
      <c r="G209" s="271" t="str">
        <f t="shared" si="6"/>
        <v/>
      </c>
      <c r="H209" s="269"/>
      <c r="I209" s="271" t="str">
        <f t="shared" si="7"/>
        <v/>
      </c>
      <c r="J209" s="270" t="s">
        <v>9</v>
      </c>
      <c r="K209" s="256" t="s">
        <v>194</v>
      </c>
      <c r="L209" s="98"/>
      <c r="M209" s="98"/>
      <c r="N209" s="98"/>
      <c r="O209" s="98"/>
      <c r="P209" s="96"/>
      <c r="Q209" s="96"/>
      <c r="R209" s="96"/>
      <c r="S209" s="96"/>
      <c r="T209" s="94"/>
      <c r="U209" s="94"/>
    </row>
    <row r="210" spans="1:21" ht="15" x14ac:dyDescent="0.25">
      <c r="A210" s="154"/>
      <c r="B210" s="154"/>
      <c r="C210" s="266"/>
      <c r="D210" s="267"/>
      <c r="E210" s="257"/>
      <c r="F210" s="268"/>
      <c r="G210" s="271" t="str">
        <f t="shared" si="6"/>
        <v/>
      </c>
      <c r="H210" s="269"/>
      <c r="I210" s="271" t="str">
        <f t="shared" si="7"/>
        <v/>
      </c>
      <c r="J210" s="270" t="s">
        <v>9</v>
      </c>
      <c r="K210" s="256" t="s">
        <v>194</v>
      </c>
      <c r="L210" s="98"/>
      <c r="M210" s="98"/>
      <c r="N210" s="98"/>
      <c r="O210" s="98"/>
      <c r="P210" s="96"/>
      <c r="Q210" s="96"/>
      <c r="R210" s="96"/>
      <c r="S210" s="96"/>
      <c r="T210" s="94"/>
      <c r="U210" s="94"/>
    </row>
    <row r="211" spans="1:21" ht="15" x14ac:dyDescent="0.25">
      <c r="A211" s="154"/>
      <c r="B211" s="154"/>
      <c r="C211" s="266"/>
      <c r="D211" s="267"/>
      <c r="E211" s="257"/>
      <c r="F211" s="268"/>
      <c r="G211" s="271" t="str">
        <f t="shared" si="6"/>
        <v/>
      </c>
      <c r="H211" s="269"/>
      <c r="I211" s="271" t="str">
        <f t="shared" si="7"/>
        <v/>
      </c>
      <c r="J211" s="270" t="s">
        <v>9</v>
      </c>
      <c r="K211" s="256" t="s">
        <v>194</v>
      </c>
      <c r="L211" s="98"/>
      <c r="M211" s="98"/>
      <c r="N211" s="98"/>
      <c r="O211" s="98"/>
      <c r="P211" s="96"/>
      <c r="Q211" s="96"/>
      <c r="R211" s="96"/>
      <c r="S211" s="96"/>
      <c r="T211" s="94"/>
      <c r="U211" s="94"/>
    </row>
    <row r="212" spans="1:21" ht="15" x14ac:dyDescent="0.25">
      <c r="A212" s="154"/>
      <c r="B212" s="154"/>
      <c r="C212" s="266"/>
      <c r="D212" s="267"/>
      <c r="E212" s="257"/>
      <c r="F212" s="268"/>
      <c r="G212" s="271" t="str">
        <f t="shared" si="6"/>
        <v/>
      </c>
      <c r="H212" s="269"/>
      <c r="I212" s="271" t="str">
        <f t="shared" si="7"/>
        <v/>
      </c>
      <c r="J212" s="270" t="s">
        <v>9</v>
      </c>
      <c r="K212" s="256" t="s">
        <v>194</v>
      </c>
      <c r="L212" s="98"/>
      <c r="M212" s="98"/>
      <c r="N212" s="98"/>
      <c r="O212" s="98"/>
      <c r="P212" s="96"/>
      <c r="Q212" s="96"/>
      <c r="R212" s="96"/>
      <c r="S212" s="96"/>
      <c r="T212" s="94"/>
      <c r="U212" s="94"/>
    </row>
    <row r="213" spans="1:21" ht="15" x14ac:dyDescent="0.25">
      <c r="A213" s="154"/>
      <c r="B213" s="154"/>
      <c r="C213" s="266"/>
      <c r="D213" s="267"/>
      <c r="E213" s="257"/>
      <c r="F213" s="268"/>
      <c r="G213" s="271" t="str">
        <f t="shared" si="6"/>
        <v/>
      </c>
      <c r="H213" s="269"/>
      <c r="I213" s="271" t="str">
        <f t="shared" si="7"/>
        <v/>
      </c>
      <c r="J213" s="270" t="s">
        <v>9</v>
      </c>
      <c r="K213" s="256" t="s">
        <v>194</v>
      </c>
      <c r="L213" s="98"/>
      <c r="M213" s="98"/>
      <c r="N213" s="98"/>
      <c r="O213" s="98"/>
      <c r="P213" s="96"/>
      <c r="Q213" s="96"/>
      <c r="R213" s="96"/>
      <c r="S213" s="96"/>
      <c r="T213" s="94"/>
      <c r="U213" s="94"/>
    </row>
    <row r="214" spans="1:21" ht="15" x14ac:dyDescent="0.25">
      <c r="A214" s="154"/>
      <c r="B214" s="154"/>
      <c r="C214" s="266"/>
      <c r="D214" s="267"/>
      <c r="E214" s="257"/>
      <c r="F214" s="268"/>
      <c r="G214" s="271" t="str">
        <f t="shared" si="6"/>
        <v/>
      </c>
      <c r="H214" s="269"/>
      <c r="I214" s="271" t="str">
        <f t="shared" si="7"/>
        <v/>
      </c>
      <c r="J214" s="270" t="s">
        <v>9</v>
      </c>
      <c r="K214" s="256" t="s">
        <v>194</v>
      </c>
      <c r="L214" s="98"/>
      <c r="M214" s="98"/>
      <c r="N214" s="98"/>
      <c r="O214" s="98"/>
      <c r="P214" s="96"/>
      <c r="Q214" s="96"/>
      <c r="R214" s="96"/>
      <c r="S214" s="96"/>
      <c r="T214" s="94"/>
      <c r="U214" s="94"/>
    </row>
    <row r="215" spans="1:21" ht="15" x14ac:dyDescent="0.25">
      <c r="A215" s="154"/>
      <c r="B215" s="154"/>
      <c r="C215" s="266"/>
      <c r="D215" s="267"/>
      <c r="E215" s="257"/>
      <c r="F215" s="268"/>
      <c r="G215" s="271" t="str">
        <f t="shared" si="6"/>
        <v/>
      </c>
      <c r="H215" s="269"/>
      <c r="I215" s="271" t="str">
        <f t="shared" si="7"/>
        <v/>
      </c>
      <c r="J215" s="270" t="s">
        <v>9</v>
      </c>
      <c r="K215" s="256" t="s">
        <v>194</v>
      </c>
      <c r="L215" s="98"/>
      <c r="M215" s="98"/>
      <c r="N215" s="98"/>
      <c r="O215" s="98"/>
      <c r="P215" s="96"/>
      <c r="Q215" s="96"/>
      <c r="R215" s="96"/>
      <c r="S215" s="96"/>
      <c r="T215" s="94"/>
      <c r="U215" s="94"/>
    </row>
    <row r="216" spans="1:21" ht="15" x14ac:dyDescent="0.25">
      <c r="A216" s="154"/>
      <c r="B216" s="154"/>
      <c r="C216" s="266"/>
      <c r="D216" s="267"/>
      <c r="E216" s="257"/>
      <c r="F216" s="268"/>
      <c r="G216" s="271" t="str">
        <f t="shared" si="6"/>
        <v/>
      </c>
      <c r="H216" s="269"/>
      <c r="I216" s="271" t="str">
        <f t="shared" si="7"/>
        <v/>
      </c>
      <c r="J216" s="270" t="s">
        <v>9</v>
      </c>
      <c r="K216" s="256" t="s">
        <v>194</v>
      </c>
      <c r="L216" s="98"/>
      <c r="M216" s="98"/>
      <c r="N216" s="98"/>
      <c r="O216" s="98"/>
      <c r="P216" s="96"/>
      <c r="Q216" s="96"/>
      <c r="R216" s="96"/>
      <c r="S216" s="96"/>
      <c r="T216" s="94"/>
      <c r="U216" s="94"/>
    </row>
    <row r="217" spans="1:21" ht="15" x14ac:dyDescent="0.25">
      <c r="A217" s="154"/>
      <c r="B217" s="154"/>
      <c r="C217" s="266"/>
      <c r="D217" s="267"/>
      <c r="E217" s="257"/>
      <c r="F217" s="268"/>
      <c r="G217" s="271" t="str">
        <f t="shared" si="6"/>
        <v/>
      </c>
      <c r="H217" s="269"/>
      <c r="I217" s="271" t="str">
        <f t="shared" si="7"/>
        <v/>
      </c>
      <c r="J217" s="270" t="s">
        <v>9</v>
      </c>
      <c r="K217" s="256" t="s">
        <v>194</v>
      </c>
      <c r="L217" s="98"/>
      <c r="M217" s="98"/>
      <c r="N217" s="98"/>
      <c r="O217" s="98"/>
      <c r="P217" s="96"/>
      <c r="Q217" s="96"/>
      <c r="R217" s="96"/>
      <c r="S217" s="96"/>
      <c r="T217" s="94"/>
      <c r="U217" s="94"/>
    </row>
    <row r="218" spans="1:21" ht="15" x14ac:dyDescent="0.25">
      <c r="A218" s="154"/>
      <c r="B218" s="154"/>
      <c r="C218" s="266"/>
      <c r="D218" s="267"/>
      <c r="E218" s="257"/>
      <c r="F218" s="268"/>
      <c r="G218" s="271" t="str">
        <f t="shared" si="6"/>
        <v/>
      </c>
      <c r="H218" s="269"/>
      <c r="I218" s="271" t="str">
        <f t="shared" si="7"/>
        <v/>
      </c>
      <c r="J218" s="270" t="s">
        <v>9</v>
      </c>
      <c r="K218" s="256" t="s">
        <v>194</v>
      </c>
      <c r="L218" s="98"/>
      <c r="M218" s="98"/>
      <c r="N218" s="98"/>
      <c r="O218" s="98"/>
      <c r="P218" s="96"/>
      <c r="Q218" s="96"/>
      <c r="R218" s="96"/>
      <c r="S218" s="96"/>
      <c r="T218" s="94"/>
      <c r="U218" s="94"/>
    </row>
    <row r="219" spans="1:21" ht="15" x14ac:dyDescent="0.25">
      <c r="A219" s="154"/>
      <c r="B219" s="154"/>
      <c r="C219" s="266"/>
      <c r="D219" s="267"/>
      <c r="E219" s="257"/>
      <c r="F219" s="268"/>
      <c r="G219" s="271" t="str">
        <f t="shared" si="6"/>
        <v/>
      </c>
      <c r="H219" s="269"/>
      <c r="I219" s="271" t="str">
        <f t="shared" si="7"/>
        <v/>
      </c>
      <c r="J219" s="270" t="s">
        <v>9</v>
      </c>
      <c r="K219" s="256" t="s">
        <v>194</v>
      </c>
      <c r="L219" s="98"/>
      <c r="M219" s="98"/>
      <c r="N219" s="98"/>
      <c r="O219" s="98"/>
      <c r="P219" s="96"/>
      <c r="Q219" s="96"/>
      <c r="R219" s="96"/>
      <c r="S219" s="96"/>
      <c r="T219" s="94"/>
      <c r="U219" s="94"/>
    </row>
    <row r="220" spans="1:21" ht="15" x14ac:dyDescent="0.25">
      <c r="A220" s="154"/>
      <c r="B220" s="154"/>
      <c r="C220" s="266"/>
      <c r="D220" s="267"/>
      <c r="E220" s="257"/>
      <c r="F220" s="268"/>
      <c r="G220" s="271" t="str">
        <f t="shared" si="6"/>
        <v/>
      </c>
      <c r="H220" s="269"/>
      <c r="I220" s="271" t="str">
        <f t="shared" si="7"/>
        <v/>
      </c>
      <c r="J220" s="270" t="s">
        <v>9</v>
      </c>
      <c r="K220" s="256" t="s">
        <v>194</v>
      </c>
      <c r="L220" s="98"/>
      <c r="M220" s="98"/>
      <c r="N220" s="98"/>
      <c r="O220" s="98"/>
      <c r="P220" s="96"/>
      <c r="Q220" s="96"/>
      <c r="R220" s="96"/>
      <c r="S220" s="96"/>
      <c r="T220" s="94"/>
      <c r="U220" s="94"/>
    </row>
    <row r="221" spans="1:21" ht="15" x14ac:dyDescent="0.25">
      <c r="A221" s="154"/>
      <c r="B221" s="154"/>
      <c r="C221" s="266"/>
      <c r="D221" s="267"/>
      <c r="E221" s="257"/>
      <c r="F221" s="268"/>
      <c r="G221" s="271" t="str">
        <f t="shared" si="6"/>
        <v/>
      </c>
      <c r="H221" s="269"/>
      <c r="I221" s="271" t="str">
        <f t="shared" si="7"/>
        <v/>
      </c>
      <c r="J221" s="270" t="s">
        <v>9</v>
      </c>
      <c r="K221" s="256" t="s">
        <v>194</v>
      </c>
      <c r="L221" s="98"/>
      <c r="M221" s="98"/>
      <c r="N221" s="98"/>
      <c r="O221" s="98"/>
      <c r="P221" s="96"/>
      <c r="Q221" s="96"/>
      <c r="R221" s="96"/>
      <c r="S221" s="96"/>
      <c r="T221" s="94"/>
      <c r="U221" s="94"/>
    </row>
    <row r="222" spans="1:21" ht="15" x14ac:dyDescent="0.25">
      <c r="A222" s="154"/>
      <c r="B222" s="154"/>
      <c r="C222" s="266"/>
      <c r="D222" s="267"/>
      <c r="E222" s="257"/>
      <c r="F222" s="268"/>
      <c r="G222" s="271" t="str">
        <f t="shared" si="6"/>
        <v/>
      </c>
      <c r="H222" s="269"/>
      <c r="I222" s="271" t="str">
        <f t="shared" si="7"/>
        <v/>
      </c>
      <c r="J222" s="270" t="s">
        <v>9</v>
      </c>
      <c r="K222" s="256" t="s">
        <v>194</v>
      </c>
      <c r="L222" s="98"/>
      <c r="M222" s="98"/>
      <c r="N222" s="98"/>
      <c r="O222" s="98"/>
      <c r="P222" s="96"/>
      <c r="Q222" s="96"/>
      <c r="R222" s="96"/>
      <c r="S222" s="96"/>
      <c r="T222" s="94"/>
      <c r="U222" s="94"/>
    </row>
    <row r="223" spans="1:21" ht="15" x14ac:dyDescent="0.25">
      <c r="A223" s="154"/>
      <c r="B223" s="154"/>
      <c r="C223" s="266"/>
      <c r="D223" s="267"/>
      <c r="E223" s="257"/>
      <c r="F223" s="268"/>
      <c r="G223" s="271" t="str">
        <f t="shared" si="6"/>
        <v/>
      </c>
      <c r="H223" s="269"/>
      <c r="I223" s="271" t="str">
        <f t="shared" si="7"/>
        <v/>
      </c>
      <c r="J223" s="270" t="s">
        <v>9</v>
      </c>
      <c r="K223" s="256" t="s">
        <v>194</v>
      </c>
      <c r="L223" s="98"/>
      <c r="M223" s="98"/>
      <c r="N223" s="98"/>
      <c r="O223" s="98"/>
      <c r="P223" s="96"/>
      <c r="Q223" s="96"/>
      <c r="R223" s="96"/>
      <c r="S223" s="96"/>
      <c r="T223" s="94"/>
      <c r="U223" s="94"/>
    </row>
    <row r="224" spans="1:21" ht="15" x14ac:dyDescent="0.25">
      <c r="A224" s="154"/>
      <c r="B224" s="154"/>
      <c r="C224" s="266"/>
      <c r="D224" s="267"/>
      <c r="E224" s="257"/>
      <c r="F224" s="268"/>
      <c r="G224" s="271" t="str">
        <f t="shared" si="6"/>
        <v/>
      </c>
      <c r="H224" s="269"/>
      <c r="I224" s="271" t="str">
        <f t="shared" si="7"/>
        <v/>
      </c>
      <c r="J224" s="270" t="s">
        <v>9</v>
      </c>
      <c r="K224" s="256" t="s">
        <v>194</v>
      </c>
      <c r="L224" s="98"/>
      <c r="M224" s="98"/>
      <c r="N224" s="98"/>
      <c r="O224" s="98"/>
      <c r="P224" s="96"/>
      <c r="Q224" s="96"/>
      <c r="R224" s="96"/>
      <c r="S224" s="96"/>
      <c r="T224" s="94"/>
      <c r="U224" s="94"/>
    </row>
    <row r="225" spans="1:21" ht="15" x14ac:dyDescent="0.25">
      <c r="A225" s="154"/>
      <c r="B225" s="154"/>
      <c r="C225" s="266"/>
      <c r="D225" s="267"/>
      <c r="E225" s="257"/>
      <c r="F225" s="268"/>
      <c r="G225" s="271" t="str">
        <f t="shared" si="6"/>
        <v/>
      </c>
      <c r="H225" s="269"/>
      <c r="I225" s="271" t="str">
        <f t="shared" si="7"/>
        <v/>
      </c>
      <c r="J225" s="270" t="s">
        <v>9</v>
      </c>
      <c r="K225" s="256" t="s">
        <v>194</v>
      </c>
      <c r="L225" s="98"/>
      <c r="M225" s="98"/>
      <c r="N225" s="98"/>
      <c r="O225" s="98"/>
      <c r="P225" s="96"/>
      <c r="Q225" s="96"/>
      <c r="R225" s="96"/>
      <c r="S225" s="96"/>
      <c r="T225" s="94"/>
      <c r="U225" s="94"/>
    </row>
    <row r="226" spans="1:21" ht="15" x14ac:dyDescent="0.25">
      <c r="A226" s="154"/>
      <c r="B226" s="154"/>
      <c r="C226" s="266"/>
      <c r="D226" s="267"/>
      <c r="E226" s="257"/>
      <c r="F226" s="268"/>
      <c r="G226" s="271" t="str">
        <f t="shared" si="6"/>
        <v/>
      </c>
      <c r="H226" s="269"/>
      <c r="I226" s="271" t="str">
        <f t="shared" si="7"/>
        <v/>
      </c>
      <c r="J226" s="270" t="s">
        <v>9</v>
      </c>
      <c r="K226" s="256" t="s">
        <v>194</v>
      </c>
      <c r="L226" s="98"/>
      <c r="M226" s="98"/>
      <c r="N226" s="98"/>
      <c r="O226" s="98"/>
      <c r="P226" s="96"/>
      <c r="Q226" s="96"/>
      <c r="R226" s="96"/>
      <c r="S226" s="96"/>
      <c r="T226" s="94"/>
      <c r="U226" s="94"/>
    </row>
    <row r="227" spans="1:21" ht="15" x14ac:dyDescent="0.25">
      <c r="A227" s="154"/>
      <c r="B227" s="154"/>
      <c r="C227" s="266"/>
      <c r="D227" s="267"/>
      <c r="E227" s="257"/>
      <c r="F227" s="268"/>
      <c r="G227" s="271" t="str">
        <f t="shared" si="6"/>
        <v/>
      </c>
      <c r="H227" s="269"/>
      <c r="I227" s="271" t="str">
        <f t="shared" si="7"/>
        <v/>
      </c>
      <c r="J227" s="270" t="s">
        <v>9</v>
      </c>
      <c r="K227" s="256" t="s">
        <v>194</v>
      </c>
      <c r="L227" s="98"/>
      <c r="M227" s="98"/>
      <c r="N227" s="98"/>
      <c r="O227" s="98"/>
      <c r="P227" s="96"/>
      <c r="Q227" s="96"/>
      <c r="R227" s="96"/>
      <c r="S227" s="96"/>
      <c r="T227" s="94"/>
      <c r="U227" s="94"/>
    </row>
    <row r="228" spans="1:21" ht="15" x14ac:dyDescent="0.25">
      <c r="A228" s="154"/>
      <c r="B228" s="154"/>
      <c r="C228" s="266"/>
      <c r="D228" s="267"/>
      <c r="E228" s="257"/>
      <c r="F228" s="268"/>
      <c r="G228" s="271" t="str">
        <f t="shared" si="6"/>
        <v/>
      </c>
      <c r="H228" s="269"/>
      <c r="I228" s="271" t="str">
        <f t="shared" si="7"/>
        <v/>
      </c>
      <c r="J228" s="270" t="s">
        <v>9</v>
      </c>
      <c r="K228" s="256" t="s">
        <v>194</v>
      </c>
      <c r="L228" s="98"/>
      <c r="M228" s="98"/>
      <c r="N228" s="98"/>
      <c r="O228" s="98"/>
      <c r="P228" s="96"/>
      <c r="Q228" s="96"/>
      <c r="R228" s="96"/>
      <c r="S228" s="96"/>
      <c r="T228" s="94"/>
      <c r="U228" s="94"/>
    </row>
    <row r="229" spans="1:21" ht="15" x14ac:dyDescent="0.25">
      <c r="A229" s="154"/>
      <c r="B229" s="154"/>
      <c r="C229" s="266"/>
      <c r="D229" s="267"/>
      <c r="E229" s="257"/>
      <c r="F229" s="268"/>
      <c r="G229" s="271" t="str">
        <f t="shared" si="6"/>
        <v/>
      </c>
      <c r="H229" s="269"/>
      <c r="I229" s="271" t="str">
        <f t="shared" si="7"/>
        <v/>
      </c>
      <c r="J229" s="270" t="s">
        <v>9</v>
      </c>
      <c r="K229" s="256" t="s">
        <v>194</v>
      </c>
      <c r="L229" s="98"/>
      <c r="M229" s="98"/>
      <c r="N229" s="98"/>
      <c r="O229" s="98"/>
      <c r="P229" s="96"/>
      <c r="Q229" s="96"/>
      <c r="R229" s="96"/>
      <c r="S229" s="96"/>
      <c r="T229" s="94"/>
      <c r="U229" s="94"/>
    </row>
    <row r="230" spans="1:21" ht="15" x14ac:dyDescent="0.25">
      <c r="A230" s="154"/>
      <c r="B230" s="154"/>
      <c r="C230" s="266"/>
      <c r="D230" s="267"/>
      <c r="E230" s="257"/>
      <c r="F230" s="268"/>
      <c r="G230" s="271" t="str">
        <f t="shared" si="6"/>
        <v/>
      </c>
      <c r="H230" s="269"/>
      <c r="I230" s="271" t="str">
        <f t="shared" si="7"/>
        <v/>
      </c>
      <c r="J230" s="270" t="s">
        <v>9</v>
      </c>
      <c r="K230" s="256" t="s">
        <v>194</v>
      </c>
      <c r="L230" s="98"/>
      <c r="M230" s="98"/>
      <c r="N230" s="98"/>
      <c r="O230" s="98"/>
      <c r="P230" s="96"/>
      <c r="Q230" s="96"/>
      <c r="R230" s="96"/>
      <c r="S230" s="96"/>
      <c r="T230" s="94"/>
      <c r="U230" s="94"/>
    </row>
    <row r="231" spans="1:21" ht="15" x14ac:dyDescent="0.25">
      <c r="A231" s="154"/>
      <c r="B231" s="154"/>
      <c r="C231" s="266"/>
      <c r="D231" s="267"/>
      <c r="E231" s="257"/>
      <c r="F231" s="268"/>
      <c r="G231" s="271" t="str">
        <f t="shared" si="6"/>
        <v/>
      </c>
      <c r="H231" s="269"/>
      <c r="I231" s="271" t="str">
        <f t="shared" si="7"/>
        <v/>
      </c>
      <c r="J231" s="270" t="s">
        <v>9</v>
      </c>
      <c r="K231" s="256" t="s">
        <v>194</v>
      </c>
      <c r="L231" s="98"/>
      <c r="M231" s="98"/>
      <c r="N231" s="98"/>
      <c r="O231" s="98"/>
      <c r="P231" s="96"/>
      <c r="Q231" s="96"/>
      <c r="R231" s="96"/>
      <c r="S231" s="96"/>
      <c r="T231" s="94"/>
      <c r="U231" s="94"/>
    </row>
    <row r="232" spans="1:21" ht="15" x14ac:dyDescent="0.25">
      <c r="A232" s="154"/>
      <c r="B232" s="154"/>
      <c r="C232" s="266"/>
      <c r="D232" s="267"/>
      <c r="E232" s="257"/>
      <c r="F232" s="268"/>
      <c r="G232" s="271" t="str">
        <f t="shared" si="6"/>
        <v/>
      </c>
      <c r="H232" s="269"/>
      <c r="I232" s="271" t="str">
        <f t="shared" si="7"/>
        <v/>
      </c>
      <c r="J232" s="270" t="s">
        <v>9</v>
      </c>
      <c r="K232" s="256" t="s">
        <v>194</v>
      </c>
      <c r="L232" s="98"/>
      <c r="M232" s="98"/>
      <c r="N232" s="98"/>
      <c r="O232" s="98"/>
      <c r="P232" s="96"/>
      <c r="Q232" s="96"/>
      <c r="R232" s="96"/>
      <c r="S232" s="96"/>
      <c r="T232" s="94"/>
      <c r="U232" s="94"/>
    </row>
    <row r="233" spans="1:21" ht="15" x14ac:dyDescent="0.25">
      <c r="A233" s="154"/>
      <c r="B233" s="154"/>
      <c r="C233" s="266"/>
      <c r="D233" s="267"/>
      <c r="E233" s="257"/>
      <c r="F233" s="268"/>
      <c r="G233" s="271" t="str">
        <f t="shared" si="6"/>
        <v/>
      </c>
      <c r="H233" s="269"/>
      <c r="I233" s="271" t="str">
        <f t="shared" si="7"/>
        <v/>
      </c>
      <c r="J233" s="270" t="s">
        <v>9</v>
      </c>
      <c r="K233" s="256" t="s">
        <v>194</v>
      </c>
      <c r="L233" s="98"/>
      <c r="M233" s="98"/>
      <c r="N233" s="98"/>
      <c r="O233" s="98"/>
      <c r="P233" s="96"/>
      <c r="Q233" s="96"/>
      <c r="R233" s="96"/>
      <c r="S233" s="96"/>
      <c r="T233" s="94"/>
      <c r="U233" s="94"/>
    </row>
    <row r="234" spans="1:21" ht="15" x14ac:dyDescent="0.25">
      <c r="A234" s="154"/>
      <c r="B234" s="154"/>
      <c r="C234" s="266"/>
      <c r="D234" s="267"/>
      <c r="E234" s="257"/>
      <c r="F234" s="268"/>
      <c r="G234" s="271" t="str">
        <f t="shared" si="6"/>
        <v/>
      </c>
      <c r="H234" s="269"/>
      <c r="I234" s="271" t="str">
        <f t="shared" si="7"/>
        <v/>
      </c>
      <c r="J234" s="270" t="s">
        <v>9</v>
      </c>
      <c r="K234" s="256" t="s">
        <v>194</v>
      </c>
      <c r="L234" s="98"/>
      <c r="M234" s="98"/>
      <c r="N234" s="98"/>
      <c r="O234" s="98"/>
      <c r="P234" s="96"/>
      <c r="Q234" s="96"/>
      <c r="R234" s="96"/>
      <c r="S234" s="96"/>
      <c r="T234" s="94"/>
      <c r="U234" s="94"/>
    </row>
    <row r="235" spans="1:21" ht="15" x14ac:dyDescent="0.25">
      <c r="A235" s="154"/>
      <c r="B235" s="154"/>
      <c r="C235" s="266"/>
      <c r="D235" s="267"/>
      <c r="E235" s="257"/>
      <c r="F235" s="268"/>
      <c r="G235" s="271" t="str">
        <f t="shared" si="6"/>
        <v/>
      </c>
      <c r="H235" s="269"/>
      <c r="I235" s="271" t="str">
        <f t="shared" si="7"/>
        <v/>
      </c>
      <c r="J235" s="270" t="s">
        <v>9</v>
      </c>
      <c r="K235" s="256" t="s">
        <v>194</v>
      </c>
      <c r="L235" s="98"/>
      <c r="M235" s="98"/>
      <c r="N235" s="98"/>
      <c r="O235" s="98"/>
      <c r="P235" s="96"/>
      <c r="Q235" s="96"/>
      <c r="R235" s="96"/>
      <c r="S235" s="96"/>
      <c r="T235" s="94"/>
      <c r="U235" s="94"/>
    </row>
    <row r="236" spans="1:21" ht="15" x14ac:dyDescent="0.25">
      <c r="A236" s="154"/>
      <c r="B236" s="154"/>
      <c r="C236" s="266"/>
      <c r="D236" s="267"/>
      <c r="E236" s="257"/>
      <c r="F236" s="268"/>
      <c r="G236" s="271" t="str">
        <f t="shared" si="6"/>
        <v/>
      </c>
      <c r="H236" s="269"/>
      <c r="I236" s="271" t="str">
        <f t="shared" si="7"/>
        <v/>
      </c>
      <c r="J236" s="270" t="s">
        <v>9</v>
      </c>
      <c r="K236" s="256" t="s">
        <v>194</v>
      </c>
      <c r="L236" s="98"/>
      <c r="M236" s="98"/>
      <c r="N236" s="98"/>
      <c r="O236" s="98"/>
      <c r="P236" s="96"/>
      <c r="Q236" s="96"/>
      <c r="R236" s="96"/>
      <c r="S236" s="96"/>
      <c r="T236" s="94"/>
      <c r="U236" s="94"/>
    </row>
    <row r="237" spans="1:21" ht="15" x14ac:dyDescent="0.25">
      <c r="A237" s="154"/>
      <c r="B237" s="154"/>
      <c r="C237" s="266"/>
      <c r="D237" s="267"/>
      <c r="E237" s="257"/>
      <c r="F237" s="268"/>
      <c r="G237" s="271" t="str">
        <f t="shared" si="6"/>
        <v/>
      </c>
      <c r="H237" s="269"/>
      <c r="I237" s="271" t="str">
        <f t="shared" si="7"/>
        <v/>
      </c>
      <c r="J237" s="270" t="s">
        <v>9</v>
      </c>
      <c r="K237" s="256" t="s">
        <v>194</v>
      </c>
      <c r="L237" s="98"/>
      <c r="M237" s="98"/>
      <c r="N237" s="98"/>
      <c r="O237" s="98"/>
      <c r="P237" s="96"/>
      <c r="Q237" s="96"/>
      <c r="R237" s="96"/>
      <c r="S237" s="96"/>
      <c r="T237" s="94"/>
      <c r="U237" s="94"/>
    </row>
    <row r="238" spans="1:21" ht="15" x14ac:dyDescent="0.25">
      <c r="A238" s="154"/>
      <c r="B238" s="154"/>
      <c r="C238" s="266"/>
      <c r="D238" s="267"/>
      <c r="E238" s="257"/>
      <c r="F238" s="268"/>
      <c r="G238" s="271" t="str">
        <f t="shared" si="6"/>
        <v/>
      </c>
      <c r="H238" s="269"/>
      <c r="I238" s="271" t="str">
        <f t="shared" si="7"/>
        <v/>
      </c>
      <c r="J238" s="270" t="s">
        <v>9</v>
      </c>
      <c r="K238" s="256" t="s">
        <v>194</v>
      </c>
      <c r="L238" s="98"/>
      <c r="M238" s="98"/>
      <c r="N238" s="98"/>
      <c r="O238" s="98"/>
      <c r="P238" s="96"/>
      <c r="Q238" s="96"/>
      <c r="R238" s="96"/>
      <c r="S238" s="96"/>
      <c r="T238" s="94"/>
      <c r="U238" s="94"/>
    </row>
    <row r="239" spans="1:21" ht="15" x14ac:dyDescent="0.25">
      <c r="A239" s="154"/>
      <c r="B239" s="154"/>
      <c r="C239" s="266"/>
      <c r="D239" s="267"/>
      <c r="E239" s="257"/>
      <c r="F239" s="268"/>
      <c r="G239" s="271" t="str">
        <f t="shared" si="6"/>
        <v/>
      </c>
      <c r="H239" s="269"/>
      <c r="I239" s="271" t="str">
        <f t="shared" si="7"/>
        <v/>
      </c>
      <c r="J239" s="270" t="s">
        <v>9</v>
      </c>
      <c r="K239" s="256" t="s">
        <v>194</v>
      </c>
      <c r="L239" s="98"/>
      <c r="M239" s="98"/>
      <c r="N239" s="98"/>
      <c r="O239" s="98"/>
      <c r="P239" s="96"/>
      <c r="Q239" s="96"/>
      <c r="R239" s="96"/>
      <c r="S239" s="96"/>
      <c r="T239" s="94"/>
      <c r="U239" s="94"/>
    </row>
    <row r="240" spans="1:21" ht="15" x14ac:dyDescent="0.25">
      <c r="A240" s="154"/>
      <c r="B240" s="154"/>
      <c r="C240" s="266"/>
      <c r="D240" s="267"/>
      <c r="E240" s="257"/>
      <c r="F240" s="268"/>
      <c r="G240" s="271" t="str">
        <f t="shared" si="6"/>
        <v/>
      </c>
      <c r="H240" s="269"/>
      <c r="I240" s="271" t="str">
        <f t="shared" si="7"/>
        <v/>
      </c>
      <c r="J240" s="270" t="s">
        <v>9</v>
      </c>
      <c r="K240" s="256" t="s">
        <v>194</v>
      </c>
      <c r="L240" s="98"/>
      <c r="M240" s="98"/>
      <c r="N240" s="98"/>
      <c r="O240" s="98"/>
      <c r="P240" s="96"/>
      <c r="Q240" s="96"/>
      <c r="R240" s="96"/>
      <c r="S240" s="96"/>
      <c r="T240" s="94"/>
      <c r="U240" s="94"/>
    </row>
    <row r="241" spans="1:21" ht="15" x14ac:dyDescent="0.25">
      <c r="A241" s="154"/>
      <c r="B241" s="154"/>
      <c r="C241" s="266"/>
      <c r="D241" s="267"/>
      <c r="E241" s="257"/>
      <c r="F241" s="268"/>
      <c r="G241" s="271" t="str">
        <f t="shared" si="6"/>
        <v/>
      </c>
      <c r="H241" s="269"/>
      <c r="I241" s="271" t="str">
        <f t="shared" si="7"/>
        <v/>
      </c>
      <c r="J241" s="270" t="s">
        <v>9</v>
      </c>
      <c r="K241" s="256" t="s">
        <v>194</v>
      </c>
      <c r="L241" s="98"/>
      <c r="M241" s="98"/>
      <c r="N241" s="98"/>
      <c r="O241" s="98"/>
      <c r="P241" s="96"/>
      <c r="Q241" s="96"/>
      <c r="R241" s="96"/>
      <c r="S241" s="96"/>
      <c r="T241" s="94"/>
      <c r="U241" s="94"/>
    </row>
    <row r="242" spans="1:21" ht="15" x14ac:dyDescent="0.25">
      <c r="A242" s="154"/>
      <c r="B242" s="154"/>
      <c r="C242" s="266"/>
      <c r="D242" s="267"/>
      <c r="E242" s="257"/>
      <c r="F242" s="268"/>
      <c r="G242" s="271" t="str">
        <f t="shared" si="6"/>
        <v/>
      </c>
      <c r="H242" s="269"/>
      <c r="I242" s="271" t="str">
        <f t="shared" si="7"/>
        <v/>
      </c>
      <c r="J242" s="270" t="s">
        <v>9</v>
      </c>
      <c r="K242" s="256" t="s">
        <v>194</v>
      </c>
      <c r="L242" s="98"/>
      <c r="M242" s="98"/>
      <c r="N242" s="98"/>
      <c r="O242" s="98"/>
      <c r="P242" s="96"/>
      <c r="Q242" s="96"/>
      <c r="R242" s="96"/>
      <c r="S242" s="96"/>
      <c r="T242" s="94"/>
      <c r="U242" s="94"/>
    </row>
    <row r="243" spans="1:21" ht="15" x14ac:dyDescent="0.25">
      <c r="A243" s="154"/>
      <c r="B243" s="154"/>
      <c r="C243" s="266"/>
      <c r="D243" s="267"/>
      <c r="E243" s="257"/>
      <c r="F243" s="268"/>
      <c r="G243" s="271" t="str">
        <f t="shared" si="6"/>
        <v/>
      </c>
      <c r="H243" s="269"/>
      <c r="I243" s="271" t="str">
        <f t="shared" si="7"/>
        <v/>
      </c>
      <c r="J243" s="270" t="s">
        <v>9</v>
      </c>
      <c r="K243" s="256" t="s">
        <v>194</v>
      </c>
      <c r="L243" s="98"/>
      <c r="M243" s="98"/>
      <c r="N243" s="98"/>
      <c r="O243" s="98"/>
      <c r="P243" s="96"/>
      <c r="Q243" s="96"/>
      <c r="R243" s="96"/>
      <c r="S243" s="96"/>
      <c r="T243" s="94"/>
      <c r="U243" s="94"/>
    </row>
    <row r="244" spans="1:21" ht="15" x14ac:dyDescent="0.25">
      <c r="A244" s="154"/>
      <c r="B244" s="154"/>
      <c r="C244" s="266"/>
      <c r="D244" s="267"/>
      <c r="E244" s="257"/>
      <c r="F244" s="268"/>
      <c r="G244" s="271" t="str">
        <f t="shared" si="6"/>
        <v/>
      </c>
      <c r="H244" s="269"/>
      <c r="I244" s="271" t="str">
        <f t="shared" si="7"/>
        <v/>
      </c>
      <c r="J244" s="270" t="s">
        <v>9</v>
      </c>
      <c r="K244" s="256" t="s">
        <v>194</v>
      </c>
      <c r="L244" s="98"/>
      <c r="M244" s="98"/>
      <c r="N244" s="98"/>
      <c r="O244" s="98"/>
      <c r="P244" s="96"/>
      <c r="Q244" s="96"/>
      <c r="R244" s="96"/>
      <c r="S244" s="96"/>
      <c r="T244" s="94"/>
      <c r="U244" s="94"/>
    </row>
    <row r="245" spans="1:21" ht="15" x14ac:dyDescent="0.25">
      <c r="A245" s="154"/>
      <c r="B245" s="154"/>
      <c r="C245" s="266"/>
      <c r="D245" s="267"/>
      <c r="E245" s="257"/>
      <c r="F245" s="268"/>
      <c r="G245" s="271" t="str">
        <f t="shared" si="6"/>
        <v/>
      </c>
      <c r="H245" s="269"/>
      <c r="I245" s="271" t="str">
        <f t="shared" si="7"/>
        <v/>
      </c>
      <c r="J245" s="270" t="s">
        <v>9</v>
      </c>
      <c r="K245" s="256" t="s">
        <v>194</v>
      </c>
      <c r="L245" s="98"/>
      <c r="M245" s="98"/>
      <c r="N245" s="98"/>
      <c r="O245" s="98"/>
      <c r="P245" s="96"/>
      <c r="Q245" s="96"/>
      <c r="R245" s="96"/>
      <c r="S245" s="96"/>
      <c r="T245" s="94"/>
      <c r="U245" s="94"/>
    </row>
    <row r="246" spans="1:21" ht="15" x14ac:dyDescent="0.25">
      <c r="A246" s="154"/>
      <c r="B246" s="154"/>
      <c r="C246" s="266"/>
      <c r="D246" s="267"/>
      <c r="E246" s="257"/>
      <c r="F246" s="268"/>
      <c r="G246" s="271" t="str">
        <f t="shared" si="6"/>
        <v/>
      </c>
      <c r="H246" s="269"/>
      <c r="I246" s="271" t="str">
        <f t="shared" si="7"/>
        <v/>
      </c>
      <c r="J246" s="270" t="s">
        <v>9</v>
      </c>
      <c r="K246" s="256" t="s">
        <v>194</v>
      </c>
      <c r="L246" s="98"/>
      <c r="M246" s="98"/>
      <c r="N246" s="98"/>
      <c r="O246" s="98"/>
      <c r="P246" s="96"/>
      <c r="Q246" s="96"/>
      <c r="R246" s="96"/>
      <c r="S246" s="96"/>
      <c r="T246" s="94"/>
      <c r="U246" s="94"/>
    </row>
    <row r="247" spans="1:21" ht="15" x14ac:dyDescent="0.25">
      <c r="A247" s="154"/>
      <c r="B247" s="154"/>
      <c r="C247" s="266"/>
      <c r="D247" s="267"/>
      <c r="E247" s="257"/>
      <c r="F247" s="268"/>
      <c r="G247" s="271" t="str">
        <f t="shared" si="6"/>
        <v/>
      </c>
      <c r="H247" s="269"/>
      <c r="I247" s="271" t="str">
        <f t="shared" si="7"/>
        <v/>
      </c>
      <c r="J247" s="270" t="s">
        <v>9</v>
      </c>
      <c r="K247" s="256" t="s">
        <v>194</v>
      </c>
      <c r="L247" s="98"/>
      <c r="M247" s="98"/>
      <c r="N247" s="98"/>
      <c r="O247" s="98"/>
      <c r="P247" s="96"/>
      <c r="Q247" s="96"/>
      <c r="R247" s="96"/>
      <c r="S247" s="96"/>
      <c r="T247" s="94"/>
      <c r="U247" s="94"/>
    </row>
    <row r="248" spans="1:21" ht="15" x14ac:dyDescent="0.25">
      <c r="A248" s="154"/>
      <c r="B248" s="154"/>
      <c r="C248" s="266"/>
      <c r="D248" s="267"/>
      <c r="E248" s="257"/>
      <c r="F248" s="268"/>
      <c r="G248" s="271" t="str">
        <f t="shared" si="6"/>
        <v/>
      </c>
      <c r="H248" s="269"/>
      <c r="I248" s="271" t="str">
        <f t="shared" si="7"/>
        <v/>
      </c>
      <c r="J248" s="270" t="s">
        <v>9</v>
      </c>
      <c r="K248" s="256" t="s">
        <v>194</v>
      </c>
      <c r="L248" s="98"/>
      <c r="M248" s="98"/>
      <c r="N248" s="98"/>
      <c r="O248" s="98"/>
      <c r="P248" s="96"/>
      <c r="Q248" s="96"/>
      <c r="R248" s="96"/>
      <c r="S248" s="96"/>
      <c r="T248" s="94"/>
      <c r="U248" s="94"/>
    </row>
    <row r="249" spans="1:21" ht="15" x14ac:dyDescent="0.25">
      <c r="A249" s="154"/>
      <c r="B249" s="154"/>
      <c r="C249" s="266"/>
      <c r="D249" s="267"/>
      <c r="E249" s="257"/>
      <c r="F249" s="268"/>
      <c r="G249" s="271" t="str">
        <f t="shared" si="6"/>
        <v/>
      </c>
      <c r="H249" s="269"/>
      <c r="I249" s="271" t="str">
        <f t="shared" si="7"/>
        <v/>
      </c>
      <c r="J249" s="270" t="s">
        <v>9</v>
      </c>
      <c r="K249" s="256" t="s">
        <v>194</v>
      </c>
      <c r="L249" s="98"/>
      <c r="M249" s="98"/>
      <c r="N249" s="98"/>
      <c r="O249" s="98"/>
      <c r="P249" s="96"/>
      <c r="Q249" s="96"/>
      <c r="R249" s="96"/>
      <c r="S249" s="96"/>
      <c r="T249" s="94"/>
      <c r="U249" s="94"/>
    </row>
    <row r="250" spans="1:21" ht="15" x14ac:dyDescent="0.25">
      <c r="A250" s="154"/>
      <c r="B250" s="154"/>
      <c r="C250" s="266"/>
      <c r="D250" s="267"/>
      <c r="E250" s="257"/>
      <c r="F250" s="268"/>
      <c r="G250" s="271" t="str">
        <f t="shared" si="6"/>
        <v/>
      </c>
      <c r="H250" s="269"/>
      <c r="I250" s="271" t="str">
        <f t="shared" si="7"/>
        <v/>
      </c>
      <c r="J250" s="270" t="s">
        <v>9</v>
      </c>
      <c r="K250" s="256" t="s">
        <v>194</v>
      </c>
      <c r="L250" s="98"/>
      <c r="M250" s="98"/>
      <c r="N250" s="98"/>
      <c r="O250" s="98"/>
      <c r="P250" s="96"/>
      <c r="Q250" s="96"/>
      <c r="R250" s="96"/>
      <c r="S250" s="96"/>
      <c r="T250" s="94"/>
      <c r="U250" s="94"/>
    </row>
    <row r="251" spans="1:21" ht="15" x14ac:dyDescent="0.25">
      <c r="A251" s="154"/>
      <c r="B251" s="154"/>
      <c r="C251" s="266"/>
      <c r="D251" s="267"/>
      <c r="E251" s="257"/>
      <c r="F251" s="268"/>
      <c r="G251" s="271" t="str">
        <f t="shared" si="6"/>
        <v/>
      </c>
      <c r="H251" s="269"/>
      <c r="I251" s="271" t="str">
        <f t="shared" si="7"/>
        <v/>
      </c>
      <c r="J251" s="270" t="s">
        <v>9</v>
      </c>
      <c r="K251" s="256" t="s">
        <v>194</v>
      </c>
      <c r="L251" s="98"/>
      <c r="M251" s="98"/>
      <c r="N251" s="98"/>
      <c r="O251" s="98"/>
      <c r="P251" s="96"/>
      <c r="Q251" s="96"/>
      <c r="R251" s="96"/>
      <c r="S251" s="96"/>
      <c r="T251" s="94"/>
      <c r="U251" s="94"/>
    </row>
    <row r="252" spans="1:21" ht="15" x14ac:dyDescent="0.25">
      <c r="A252" s="154"/>
      <c r="B252" s="154"/>
      <c r="C252" s="266"/>
      <c r="D252" s="267"/>
      <c r="E252" s="257"/>
      <c r="F252" s="268"/>
      <c r="G252" s="271" t="str">
        <f t="shared" si="6"/>
        <v/>
      </c>
      <c r="H252" s="269"/>
      <c r="I252" s="271" t="str">
        <f t="shared" si="7"/>
        <v/>
      </c>
      <c r="J252" s="270" t="s">
        <v>9</v>
      </c>
      <c r="K252" s="256" t="s">
        <v>194</v>
      </c>
      <c r="L252" s="98"/>
      <c r="M252" s="98"/>
      <c r="N252" s="98"/>
      <c r="O252" s="98"/>
      <c r="P252" s="96"/>
      <c r="Q252" s="96"/>
      <c r="R252" s="96"/>
      <c r="S252" s="96"/>
      <c r="T252" s="94"/>
      <c r="U252" s="94"/>
    </row>
    <row r="253" spans="1:21" ht="15" x14ac:dyDescent="0.25">
      <c r="A253" s="154"/>
      <c r="B253" s="154"/>
      <c r="C253" s="266"/>
      <c r="D253" s="267"/>
      <c r="E253" s="257"/>
      <c r="F253" s="268"/>
      <c r="G253" s="271" t="str">
        <f t="shared" si="6"/>
        <v/>
      </c>
      <c r="H253" s="269"/>
      <c r="I253" s="271" t="str">
        <f t="shared" si="7"/>
        <v/>
      </c>
      <c r="J253" s="270" t="s">
        <v>9</v>
      </c>
      <c r="K253" s="256" t="s">
        <v>194</v>
      </c>
      <c r="L253" s="98"/>
      <c r="M253" s="98"/>
      <c r="N253" s="98"/>
      <c r="O253" s="98"/>
      <c r="P253" s="96"/>
      <c r="Q253" s="96"/>
      <c r="R253" s="96"/>
      <c r="S253" s="96"/>
      <c r="T253" s="94"/>
      <c r="U253" s="94"/>
    </row>
    <row r="254" spans="1:21" ht="15" x14ac:dyDescent="0.25">
      <c r="A254" s="154"/>
      <c r="B254" s="154"/>
      <c r="C254" s="266"/>
      <c r="D254" s="267"/>
      <c r="E254" s="257"/>
      <c r="F254" s="268"/>
      <c r="G254" s="271" t="str">
        <f t="shared" si="6"/>
        <v/>
      </c>
      <c r="H254" s="269"/>
      <c r="I254" s="271" t="str">
        <f t="shared" si="7"/>
        <v/>
      </c>
      <c r="J254" s="270" t="s">
        <v>9</v>
      </c>
      <c r="K254" s="256" t="s">
        <v>194</v>
      </c>
      <c r="L254" s="98"/>
      <c r="M254" s="98"/>
      <c r="N254" s="98"/>
      <c r="O254" s="98"/>
      <c r="P254" s="96"/>
      <c r="Q254" s="96"/>
      <c r="R254" s="96"/>
      <c r="S254" s="96"/>
      <c r="T254" s="94"/>
      <c r="U254" s="94"/>
    </row>
    <row r="255" spans="1:21" ht="15" x14ac:dyDescent="0.25">
      <c r="A255" s="154"/>
      <c r="B255" s="154"/>
      <c r="C255" s="266"/>
      <c r="D255" s="267"/>
      <c r="E255" s="257"/>
      <c r="F255" s="268"/>
      <c r="G255" s="271" t="str">
        <f t="shared" si="6"/>
        <v/>
      </c>
      <c r="H255" s="269"/>
      <c r="I255" s="271" t="str">
        <f t="shared" si="7"/>
        <v/>
      </c>
      <c r="J255" s="270" t="s">
        <v>9</v>
      </c>
      <c r="K255" s="256" t="s">
        <v>194</v>
      </c>
      <c r="L255" s="98"/>
      <c r="M255" s="98"/>
      <c r="N255" s="98"/>
      <c r="O255" s="98"/>
      <c r="P255" s="96"/>
      <c r="Q255" s="96"/>
      <c r="R255" s="96"/>
      <c r="S255" s="96"/>
      <c r="T255" s="94"/>
      <c r="U255" s="94"/>
    </row>
    <row r="256" spans="1:21" ht="15" x14ac:dyDescent="0.25">
      <c r="A256" s="154"/>
      <c r="B256" s="154"/>
      <c r="C256" s="266"/>
      <c r="D256" s="267"/>
      <c r="E256" s="257"/>
      <c r="F256" s="268"/>
      <c r="G256" s="271" t="str">
        <f t="shared" si="6"/>
        <v/>
      </c>
      <c r="H256" s="269"/>
      <c r="I256" s="271" t="str">
        <f t="shared" si="7"/>
        <v/>
      </c>
      <c r="J256" s="270" t="s">
        <v>9</v>
      </c>
      <c r="K256" s="256" t="s">
        <v>194</v>
      </c>
      <c r="L256" s="98"/>
      <c r="M256" s="98"/>
      <c r="N256" s="98"/>
      <c r="O256" s="98"/>
      <c r="P256" s="96"/>
      <c r="Q256" s="96"/>
      <c r="R256" s="96"/>
      <c r="S256" s="96"/>
      <c r="T256" s="94"/>
      <c r="U256" s="94"/>
    </row>
    <row r="257" spans="1:21" ht="15" x14ac:dyDescent="0.25">
      <c r="A257" s="154"/>
      <c r="B257" s="154"/>
      <c r="C257" s="266"/>
      <c r="D257" s="267"/>
      <c r="E257" s="257"/>
      <c r="F257" s="268"/>
      <c r="G257" s="271" t="str">
        <f t="shared" si="6"/>
        <v/>
      </c>
      <c r="H257" s="269"/>
      <c r="I257" s="271" t="str">
        <f t="shared" si="7"/>
        <v/>
      </c>
      <c r="J257" s="270" t="s">
        <v>9</v>
      </c>
      <c r="K257" s="256" t="s">
        <v>194</v>
      </c>
      <c r="L257" s="98"/>
      <c r="M257" s="98"/>
      <c r="N257" s="98"/>
      <c r="O257" s="98"/>
      <c r="P257" s="96"/>
      <c r="Q257" s="96"/>
      <c r="R257" s="96"/>
      <c r="S257" s="96"/>
      <c r="T257" s="94"/>
      <c r="U257" s="94"/>
    </row>
    <row r="258" spans="1:21" ht="15" x14ac:dyDescent="0.25">
      <c r="A258" s="154"/>
      <c r="B258" s="154"/>
      <c r="C258" s="266"/>
      <c r="D258" s="267"/>
      <c r="E258" s="257"/>
      <c r="F258" s="268"/>
      <c r="G258" s="271" t="str">
        <f t="shared" si="6"/>
        <v/>
      </c>
      <c r="H258" s="269"/>
      <c r="I258" s="271" t="str">
        <f t="shared" si="7"/>
        <v/>
      </c>
      <c r="J258" s="270" t="s">
        <v>9</v>
      </c>
      <c r="K258" s="256" t="s">
        <v>194</v>
      </c>
      <c r="L258" s="98"/>
      <c r="M258" s="98"/>
      <c r="N258" s="98"/>
      <c r="O258" s="98"/>
      <c r="P258" s="96"/>
      <c r="Q258" s="96"/>
      <c r="R258" s="96"/>
      <c r="S258" s="96"/>
      <c r="T258" s="94"/>
      <c r="U258" s="94"/>
    </row>
    <row r="259" spans="1:21" ht="15" x14ac:dyDescent="0.25">
      <c r="A259" s="154"/>
      <c r="B259" s="154"/>
      <c r="C259" s="266"/>
      <c r="D259" s="267"/>
      <c r="E259" s="257"/>
      <c r="F259" s="268"/>
      <c r="G259" s="271" t="str">
        <f t="shared" si="6"/>
        <v/>
      </c>
      <c r="H259" s="269"/>
      <c r="I259" s="271" t="str">
        <f t="shared" si="7"/>
        <v/>
      </c>
      <c r="J259" s="270" t="s">
        <v>9</v>
      </c>
      <c r="K259" s="256" t="s">
        <v>194</v>
      </c>
      <c r="L259" s="98"/>
      <c r="M259" s="98"/>
      <c r="N259" s="98"/>
      <c r="O259" s="98"/>
      <c r="P259" s="96"/>
      <c r="Q259" s="96"/>
      <c r="R259" s="96"/>
      <c r="S259" s="96"/>
      <c r="T259" s="94"/>
      <c r="U259" s="94"/>
    </row>
    <row r="260" spans="1:21" ht="15" x14ac:dyDescent="0.25">
      <c r="A260" s="154"/>
      <c r="B260" s="154"/>
      <c r="C260" s="266"/>
      <c r="D260" s="267"/>
      <c r="E260" s="257"/>
      <c r="F260" s="268"/>
      <c r="G260" s="271" t="str">
        <f t="shared" si="6"/>
        <v/>
      </c>
      <c r="H260" s="269"/>
      <c r="I260" s="271" t="str">
        <f t="shared" si="7"/>
        <v/>
      </c>
      <c r="J260" s="270" t="s">
        <v>9</v>
      </c>
      <c r="K260" s="256" t="s">
        <v>194</v>
      </c>
      <c r="L260" s="98"/>
      <c r="M260" s="98"/>
      <c r="N260" s="98"/>
      <c r="O260" s="98"/>
      <c r="P260" s="96"/>
      <c r="Q260" s="96"/>
      <c r="R260" s="96"/>
      <c r="S260" s="96"/>
      <c r="T260" s="94"/>
      <c r="U260" s="94"/>
    </row>
    <row r="261" spans="1:21" ht="15" x14ac:dyDescent="0.25">
      <c r="A261" s="154"/>
      <c r="B261" s="154"/>
      <c r="C261" s="266"/>
      <c r="D261" s="267"/>
      <c r="E261" s="257"/>
      <c r="F261" s="268"/>
      <c r="G261" s="271" t="str">
        <f t="shared" si="6"/>
        <v/>
      </c>
      <c r="H261" s="269"/>
      <c r="I261" s="271" t="str">
        <f t="shared" si="7"/>
        <v/>
      </c>
      <c r="J261" s="270" t="s">
        <v>9</v>
      </c>
      <c r="K261" s="256" t="s">
        <v>194</v>
      </c>
      <c r="L261" s="98"/>
      <c r="M261" s="98"/>
      <c r="N261" s="98"/>
      <c r="O261" s="98"/>
      <c r="P261" s="96"/>
      <c r="Q261" s="96"/>
      <c r="R261" s="96"/>
      <c r="S261" s="96"/>
      <c r="T261" s="94"/>
      <c r="U261" s="94"/>
    </row>
    <row r="262" spans="1:21" ht="15" x14ac:dyDescent="0.25">
      <c r="A262" s="154"/>
      <c r="B262" s="154"/>
      <c r="C262" s="266"/>
      <c r="D262" s="267"/>
      <c r="E262" s="257"/>
      <c r="F262" s="268"/>
      <c r="G262" s="271" t="str">
        <f t="shared" si="6"/>
        <v/>
      </c>
      <c r="H262" s="269"/>
      <c r="I262" s="271" t="str">
        <f t="shared" si="7"/>
        <v/>
      </c>
      <c r="J262" s="270" t="s">
        <v>9</v>
      </c>
      <c r="K262" s="256" t="s">
        <v>194</v>
      </c>
      <c r="L262" s="98"/>
      <c r="M262" s="98"/>
      <c r="N262" s="98"/>
      <c r="O262" s="98"/>
      <c r="P262" s="96"/>
      <c r="Q262" s="96"/>
      <c r="R262" s="96"/>
      <c r="S262" s="96"/>
      <c r="T262" s="94"/>
      <c r="U262" s="94"/>
    </row>
    <row r="263" spans="1:21" ht="15" x14ac:dyDescent="0.25">
      <c r="A263" s="154"/>
      <c r="B263" s="154"/>
      <c r="C263" s="266"/>
      <c r="D263" s="267"/>
      <c r="E263" s="257"/>
      <c r="F263" s="268"/>
      <c r="G263" s="271" t="str">
        <f t="shared" si="6"/>
        <v/>
      </c>
      <c r="H263" s="269"/>
      <c r="I263" s="271" t="str">
        <f t="shared" si="7"/>
        <v/>
      </c>
      <c r="J263" s="270" t="s">
        <v>9</v>
      </c>
      <c r="K263" s="256" t="s">
        <v>194</v>
      </c>
      <c r="L263" s="98"/>
      <c r="M263" s="98"/>
      <c r="N263" s="98"/>
      <c r="O263" s="98"/>
      <c r="P263" s="96"/>
      <c r="Q263" s="96"/>
      <c r="R263" s="96"/>
      <c r="S263" s="96"/>
      <c r="T263" s="94"/>
      <c r="U263" s="94"/>
    </row>
    <row r="264" spans="1:21" ht="15" x14ac:dyDescent="0.25">
      <c r="A264" s="154"/>
      <c r="B264" s="154"/>
      <c r="C264" s="266"/>
      <c r="D264" s="267"/>
      <c r="E264" s="257"/>
      <c r="F264" s="268"/>
      <c r="G264" s="271" t="str">
        <f t="shared" si="6"/>
        <v/>
      </c>
      <c r="H264" s="269"/>
      <c r="I264" s="271" t="str">
        <f t="shared" si="7"/>
        <v/>
      </c>
      <c r="J264" s="270" t="s">
        <v>9</v>
      </c>
      <c r="K264" s="256" t="s">
        <v>194</v>
      </c>
      <c r="L264" s="98"/>
      <c r="M264" s="98"/>
      <c r="N264" s="98"/>
      <c r="O264" s="98"/>
      <c r="P264" s="96"/>
      <c r="Q264" s="96"/>
      <c r="R264" s="96"/>
      <c r="S264" s="96"/>
      <c r="T264" s="94"/>
      <c r="U264" s="94"/>
    </row>
    <row r="265" spans="1:21" ht="15" x14ac:dyDescent="0.25">
      <c r="A265" s="154"/>
      <c r="B265" s="154"/>
      <c r="C265" s="266"/>
      <c r="D265" s="267"/>
      <c r="E265" s="257"/>
      <c r="F265" s="268"/>
      <c r="G265" s="271" t="str">
        <f t="shared" si="6"/>
        <v/>
      </c>
      <c r="H265" s="269"/>
      <c r="I265" s="271" t="str">
        <f t="shared" si="7"/>
        <v/>
      </c>
      <c r="J265" s="270" t="s">
        <v>9</v>
      </c>
      <c r="K265" s="256" t="s">
        <v>194</v>
      </c>
      <c r="L265" s="98"/>
      <c r="M265" s="98"/>
      <c r="N265" s="98"/>
      <c r="O265" s="98"/>
      <c r="P265" s="96"/>
      <c r="Q265" s="96"/>
      <c r="R265" s="96"/>
      <c r="S265" s="96"/>
      <c r="T265" s="94"/>
      <c r="U265" s="94"/>
    </row>
    <row r="266" spans="1:21" ht="15" x14ac:dyDescent="0.25">
      <c r="A266" s="154"/>
      <c r="B266" s="154"/>
      <c r="C266" s="266"/>
      <c r="D266" s="267"/>
      <c r="E266" s="257"/>
      <c r="F266" s="268"/>
      <c r="G266" s="271" t="str">
        <f t="shared" si="6"/>
        <v/>
      </c>
      <c r="H266" s="269"/>
      <c r="I266" s="271" t="str">
        <f t="shared" si="7"/>
        <v/>
      </c>
      <c r="J266" s="270" t="s">
        <v>9</v>
      </c>
      <c r="K266" s="256" t="s">
        <v>194</v>
      </c>
      <c r="L266" s="98"/>
      <c r="M266" s="98"/>
      <c r="N266" s="98"/>
      <c r="O266" s="98"/>
      <c r="P266" s="96"/>
      <c r="Q266" s="96"/>
      <c r="R266" s="96"/>
      <c r="S266" s="96"/>
      <c r="T266" s="94"/>
      <c r="U266" s="94"/>
    </row>
    <row r="267" spans="1:21" ht="15" x14ac:dyDescent="0.25">
      <c r="A267" s="154"/>
      <c r="B267" s="154"/>
      <c r="C267" s="266"/>
      <c r="D267" s="267"/>
      <c r="E267" s="257"/>
      <c r="F267" s="268"/>
      <c r="G267" s="271" t="str">
        <f t="shared" si="6"/>
        <v/>
      </c>
      <c r="H267" s="269"/>
      <c r="I267" s="271" t="str">
        <f t="shared" si="7"/>
        <v/>
      </c>
      <c r="J267" s="270" t="s">
        <v>9</v>
      </c>
      <c r="K267" s="256" t="s">
        <v>194</v>
      </c>
      <c r="L267" s="98"/>
      <c r="M267" s="98"/>
      <c r="N267" s="98"/>
      <c r="O267" s="98"/>
      <c r="P267" s="96"/>
      <c r="Q267" s="96"/>
      <c r="R267" s="96"/>
      <c r="S267" s="96"/>
      <c r="T267" s="94"/>
      <c r="U267" s="94"/>
    </row>
    <row r="268" spans="1:21" ht="15" x14ac:dyDescent="0.25">
      <c r="A268" s="154"/>
      <c r="B268" s="154"/>
      <c r="C268" s="266"/>
      <c r="D268" s="267"/>
      <c r="E268" s="257"/>
      <c r="F268" s="268"/>
      <c r="G268" s="271" t="str">
        <f t="shared" si="6"/>
        <v/>
      </c>
      <c r="H268" s="269"/>
      <c r="I268" s="271" t="str">
        <f t="shared" si="7"/>
        <v/>
      </c>
      <c r="J268" s="270" t="s">
        <v>9</v>
      </c>
      <c r="K268" s="256" t="s">
        <v>194</v>
      </c>
      <c r="L268" s="98"/>
      <c r="M268" s="98"/>
      <c r="N268" s="98"/>
      <c r="O268" s="98"/>
      <c r="P268" s="96"/>
      <c r="Q268" s="96"/>
      <c r="R268" s="96"/>
      <c r="S268" s="96"/>
      <c r="T268" s="94"/>
      <c r="U268" s="94"/>
    </row>
    <row r="269" spans="1:21" ht="15" x14ac:dyDescent="0.25">
      <c r="A269" s="154"/>
      <c r="B269" s="154"/>
      <c r="C269" s="266"/>
      <c r="D269" s="267"/>
      <c r="E269" s="257"/>
      <c r="F269" s="268"/>
      <c r="G269" s="271" t="str">
        <f t="shared" ref="G269:G332" si="8">IF(F269/par_TS_brutto&lt;&gt;0,ROUND(F269/par_TS_brutto,4),"")</f>
        <v/>
      </c>
      <c r="H269" s="269"/>
      <c r="I269" s="271" t="str">
        <f t="shared" si="7"/>
        <v/>
      </c>
      <c r="J269" s="270" t="s">
        <v>9</v>
      </c>
      <c r="K269" s="256" t="s">
        <v>194</v>
      </c>
      <c r="L269" s="98"/>
      <c r="M269" s="98"/>
      <c r="N269" s="98"/>
      <c r="O269" s="98"/>
      <c r="P269" s="96"/>
      <c r="Q269" s="96"/>
      <c r="R269" s="96"/>
      <c r="S269" s="96"/>
      <c r="T269" s="94"/>
      <c r="U269" s="94"/>
    </row>
    <row r="270" spans="1:21" ht="15" x14ac:dyDescent="0.25">
      <c r="A270" s="154"/>
      <c r="B270" s="154"/>
      <c r="C270" s="266"/>
      <c r="D270" s="267"/>
      <c r="E270" s="257"/>
      <c r="F270" s="268"/>
      <c r="G270" s="271" t="str">
        <f t="shared" si="8"/>
        <v/>
      </c>
      <c r="H270" s="269"/>
      <c r="I270" s="271" t="str">
        <f t="shared" ref="I270:I333" si="9">IFERROR(ROUND(F270/H270,4),"")</f>
        <v/>
      </c>
      <c r="J270" s="270" t="s">
        <v>9</v>
      </c>
      <c r="K270" s="256" t="s">
        <v>194</v>
      </c>
      <c r="L270" s="98"/>
      <c r="M270" s="98"/>
      <c r="N270" s="98"/>
      <c r="O270" s="98"/>
      <c r="P270" s="96"/>
      <c r="Q270" s="96"/>
      <c r="R270" s="96"/>
      <c r="S270" s="96"/>
      <c r="T270" s="94"/>
      <c r="U270" s="94"/>
    </row>
    <row r="271" spans="1:21" ht="15" x14ac:dyDescent="0.25">
      <c r="A271" s="154"/>
      <c r="B271" s="154"/>
      <c r="C271" s="266"/>
      <c r="D271" s="267"/>
      <c r="E271" s="257"/>
      <c r="F271" s="268"/>
      <c r="G271" s="271" t="str">
        <f t="shared" si="8"/>
        <v/>
      </c>
      <c r="H271" s="269"/>
      <c r="I271" s="271" t="str">
        <f t="shared" si="9"/>
        <v/>
      </c>
      <c r="J271" s="270" t="s">
        <v>9</v>
      </c>
      <c r="K271" s="256" t="s">
        <v>194</v>
      </c>
      <c r="L271" s="98"/>
      <c r="M271" s="98"/>
      <c r="N271" s="98"/>
      <c r="O271" s="98"/>
      <c r="P271" s="96"/>
      <c r="Q271" s="96"/>
      <c r="R271" s="96"/>
      <c r="S271" s="96"/>
      <c r="T271" s="94"/>
      <c r="U271" s="94"/>
    </row>
    <row r="272" spans="1:21" ht="15" x14ac:dyDescent="0.25">
      <c r="A272" s="154"/>
      <c r="B272" s="154"/>
      <c r="C272" s="266"/>
      <c r="D272" s="267"/>
      <c r="E272" s="257"/>
      <c r="F272" s="268"/>
      <c r="G272" s="271" t="str">
        <f t="shared" si="8"/>
        <v/>
      </c>
      <c r="H272" s="269"/>
      <c r="I272" s="271" t="str">
        <f t="shared" si="9"/>
        <v/>
      </c>
      <c r="J272" s="270" t="s">
        <v>9</v>
      </c>
      <c r="K272" s="256" t="s">
        <v>194</v>
      </c>
      <c r="L272" s="98"/>
      <c r="M272" s="98"/>
      <c r="N272" s="98"/>
      <c r="O272" s="98"/>
      <c r="P272" s="96"/>
      <c r="Q272" s="96"/>
      <c r="R272" s="96"/>
      <c r="S272" s="96"/>
      <c r="T272" s="94"/>
      <c r="U272" s="94"/>
    </row>
    <row r="273" spans="1:21" ht="15" x14ac:dyDescent="0.25">
      <c r="A273" s="154"/>
      <c r="B273" s="154"/>
      <c r="C273" s="266"/>
      <c r="D273" s="267"/>
      <c r="E273" s="257"/>
      <c r="F273" s="268"/>
      <c r="G273" s="271" t="str">
        <f t="shared" si="8"/>
        <v/>
      </c>
      <c r="H273" s="269"/>
      <c r="I273" s="271" t="str">
        <f t="shared" si="9"/>
        <v/>
      </c>
      <c r="J273" s="270" t="s">
        <v>9</v>
      </c>
      <c r="K273" s="256" t="s">
        <v>194</v>
      </c>
      <c r="L273" s="98"/>
      <c r="M273" s="98"/>
      <c r="N273" s="98"/>
      <c r="O273" s="98"/>
      <c r="P273" s="96"/>
      <c r="Q273" s="96"/>
      <c r="R273" s="96"/>
      <c r="S273" s="96"/>
      <c r="T273" s="94"/>
      <c r="U273" s="94"/>
    </row>
    <row r="274" spans="1:21" ht="15" x14ac:dyDescent="0.25">
      <c r="A274" s="154"/>
      <c r="B274" s="154"/>
      <c r="C274" s="266"/>
      <c r="D274" s="267"/>
      <c r="E274" s="257"/>
      <c r="F274" s="268"/>
      <c r="G274" s="271" t="str">
        <f t="shared" si="8"/>
        <v/>
      </c>
      <c r="H274" s="269"/>
      <c r="I274" s="271" t="str">
        <f t="shared" si="9"/>
        <v/>
      </c>
      <c r="J274" s="270" t="s">
        <v>9</v>
      </c>
      <c r="K274" s="256" t="s">
        <v>194</v>
      </c>
      <c r="L274" s="98"/>
      <c r="M274" s="98"/>
      <c r="N274" s="98"/>
      <c r="O274" s="98"/>
      <c r="P274" s="96"/>
      <c r="Q274" s="96"/>
      <c r="R274" s="96"/>
      <c r="S274" s="96"/>
      <c r="T274" s="94"/>
      <c r="U274" s="94"/>
    </row>
    <row r="275" spans="1:21" ht="15" x14ac:dyDescent="0.25">
      <c r="A275" s="154"/>
      <c r="B275" s="154"/>
      <c r="C275" s="266"/>
      <c r="D275" s="267"/>
      <c r="E275" s="257"/>
      <c r="F275" s="268"/>
      <c r="G275" s="271" t="str">
        <f t="shared" si="8"/>
        <v/>
      </c>
      <c r="H275" s="269"/>
      <c r="I275" s="271" t="str">
        <f t="shared" si="9"/>
        <v/>
      </c>
      <c r="J275" s="270" t="s">
        <v>9</v>
      </c>
      <c r="K275" s="256" t="s">
        <v>194</v>
      </c>
      <c r="L275" s="98"/>
      <c r="M275" s="98"/>
      <c r="N275" s="98"/>
      <c r="O275" s="98"/>
      <c r="P275" s="96"/>
      <c r="Q275" s="96"/>
      <c r="R275" s="96"/>
      <c r="S275" s="96"/>
      <c r="T275" s="94"/>
      <c r="U275" s="94"/>
    </row>
    <row r="276" spans="1:21" ht="15" x14ac:dyDescent="0.25">
      <c r="A276" s="154"/>
      <c r="B276" s="154"/>
      <c r="C276" s="266"/>
      <c r="D276" s="267"/>
      <c r="E276" s="257"/>
      <c r="F276" s="268"/>
      <c r="G276" s="271" t="str">
        <f t="shared" si="8"/>
        <v/>
      </c>
      <c r="H276" s="269"/>
      <c r="I276" s="271" t="str">
        <f t="shared" si="9"/>
        <v/>
      </c>
      <c r="J276" s="270" t="s">
        <v>9</v>
      </c>
      <c r="K276" s="256" t="s">
        <v>194</v>
      </c>
      <c r="L276" s="98"/>
      <c r="M276" s="98"/>
      <c r="N276" s="98"/>
      <c r="O276" s="98"/>
      <c r="P276" s="96"/>
      <c r="Q276" s="96"/>
      <c r="R276" s="96"/>
      <c r="S276" s="96"/>
      <c r="T276" s="94"/>
      <c r="U276" s="94"/>
    </row>
    <row r="277" spans="1:21" ht="15" x14ac:dyDescent="0.25">
      <c r="A277" s="154"/>
      <c r="B277" s="154"/>
      <c r="C277" s="266"/>
      <c r="D277" s="267"/>
      <c r="E277" s="257"/>
      <c r="F277" s="268"/>
      <c r="G277" s="271" t="str">
        <f t="shared" si="8"/>
        <v/>
      </c>
      <c r="H277" s="269"/>
      <c r="I277" s="271" t="str">
        <f t="shared" si="9"/>
        <v/>
      </c>
      <c r="J277" s="270" t="s">
        <v>9</v>
      </c>
      <c r="K277" s="256" t="s">
        <v>194</v>
      </c>
      <c r="L277" s="98"/>
      <c r="M277" s="98"/>
      <c r="N277" s="98"/>
      <c r="O277" s="98"/>
      <c r="P277" s="96"/>
      <c r="Q277" s="96"/>
      <c r="R277" s="96"/>
      <c r="S277" s="96"/>
      <c r="T277" s="94"/>
      <c r="U277" s="94"/>
    </row>
    <row r="278" spans="1:21" ht="15" x14ac:dyDescent="0.25">
      <c r="A278" s="154"/>
      <c r="B278" s="154"/>
      <c r="C278" s="266"/>
      <c r="D278" s="267"/>
      <c r="E278" s="257"/>
      <c r="F278" s="268"/>
      <c r="G278" s="271" t="str">
        <f t="shared" si="8"/>
        <v/>
      </c>
      <c r="H278" s="269"/>
      <c r="I278" s="271" t="str">
        <f t="shared" si="9"/>
        <v/>
      </c>
      <c r="J278" s="270" t="s">
        <v>9</v>
      </c>
      <c r="K278" s="256" t="s">
        <v>194</v>
      </c>
      <c r="L278" s="98"/>
      <c r="M278" s="98"/>
      <c r="N278" s="98"/>
      <c r="O278" s="98"/>
      <c r="P278" s="96"/>
      <c r="Q278" s="96"/>
      <c r="R278" s="96"/>
      <c r="S278" s="96"/>
      <c r="T278" s="94"/>
      <c r="U278" s="94"/>
    </row>
    <row r="279" spans="1:21" ht="15" x14ac:dyDescent="0.25">
      <c r="A279" s="154"/>
      <c r="B279" s="154"/>
      <c r="C279" s="266"/>
      <c r="D279" s="267"/>
      <c r="E279" s="257"/>
      <c r="F279" s="268"/>
      <c r="G279" s="271" t="str">
        <f t="shared" si="8"/>
        <v/>
      </c>
      <c r="H279" s="269"/>
      <c r="I279" s="271" t="str">
        <f t="shared" si="9"/>
        <v/>
      </c>
      <c r="J279" s="270" t="s">
        <v>9</v>
      </c>
      <c r="K279" s="256" t="s">
        <v>194</v>
      </c>
      <c r="L279" s="98"/>
      <c r="M279" s="98"/>
      <c r="N279" s="98"/>
      <c r="O279" s="98"/>
      <c r="P279" s="96"/>
      <c r="Q279" s="96"/>
      <c r="R279" s="96"/>
      <c r="S279" s="96"/>
      <c r="T279" s="94"/>
      <c r="U279" s="94"/>
    </row>
    <row r="280" spans="1:21" ht="15" x14ac:dyDescent="0.25">
      <c r="A280" s="154"/>
      <c r="B280" s="154"/>
      <c r="C280" s="266"/>
      <c r="D280" s="267"/>
      <c r="E280" s="257"/>
      <c r="F280" s="268"/>
      <c r="G280" s="271" t="str">
        <f t="shared" si="8"/>
        <v/>
      </c>
      <c r="H280" s="269"/>
      <c r="I280" s="271" t="str">
        <f t="shared" si="9"/>
        <v/>
      </c>
      <c r="J280" s="270" t="s">
        <v>9</v>
      </c>
      <c r="K280" s="256" t="s">
        <v>194</v>
      </c>
      <c r="L280" s="98"/>
      <c r="M280" s="98"/>
      <c r="N280" s="98"/>
      <c r="O280" s="98"/>
      <c r="P280" s="96"/>
      <c r="Q280" s="96"/>
      <c r="R280" s="96"/>
      <c r="S280" s="96"/>
      <c r="T280" s="94"/>
      <c r="U280" s="94"/>
    </row>
    <row r="281" spans="1:21" ht="15" x14ac:dyDescent="0.25">
      <c r="A281" s="154"/>
      <c r="B281" s="154"/>
      <c r="C281" s="266"/>
      <c r="D281" s="267"/>
      <c r="E281" s="257"/>
      <c r="F281" s="268"/>
      <c r="G281" s="271" t="str">
        <f t="shared" si="8"/>
        <v/>
      </c>
      <c r="H281" s="269"/>
      <c r="I281" s="271" t="str">
        <f t="shared" si="9"/>
        <v/>
      </c>
      <c r="J281" s="270" t="s">
        <v>9</v>
      </c>
      <c r="K281" s="256" t="s">
        <v>194</v>
      </c>
      <c r="L281" s="98"/>
      <c r="M281" s="98"/>
      <c r="N281" s="98"/>
      <c r="O281" s="98"/>
      <c r="P281" s="96"/>
      <c r="Q281" s="96"/>
      <c r="R281" s="96"/>
      <c r="S281" s="96"/>
      <c r="T281" s="94"/>
      <c r="U281" s="94"/>
    </row>
    <row r="282" spans="1:21" ht="15" x14ac:dyDescent="0.25">
      <c r="A282" s="154"/>
      <c r="B282" s="154"/>
      <c r="C282" s="266"/>
      <c r="D282" s="267"/>
      <c r="E282" s="257"/>
      <c r="F282" s="268"/>
      <c r="G282" s="271" t="str">
        <f t="shared" si="8"/>
        <v/>
      </c>
      <c r="H282" s="269"/>
      <c r="I282" s="271" t="str">
        <f t="shared" si="9"/>
        <v/>
      </c>
      <c r="J282" s="270" t="s">
        <v>9</v>
      </c>
      <c r="K282" s="256" t="s">
        <v>194</v>
      </c>
      <c r="L282" s="98"/>
      <c r="M282" s="98"/>
      <c r="N282" s="98"/>
      <c r="O282" s="98"/>
      <c r="P282" s="96"/>
      <c r="Q282" s="96"/>
      <c r="R282" s="96"/>
      <c r="S282" s="96"/>
      <c r="T282" s="94"/>
      <c r="U282" s="94"/>
    </row>
    <row r="283" spans="1:21" ht="15" x14ac:dyDescent="0.25">
      <c r="A283" s="154"/>
      <c r="B283" s="154"/>
      <c r="C283" s="266"/>
      <c r="D283" s="267"/>
      <c r="E283" s="257"/>
      <c r="F283" s="268"/>
      <c r="G283" s="271" t="str">
        <f t="shared" si="8"/>
        <v/>
      </c>
      <c r="H283" s="269"/>
      <c r="I283" s="271" t="str">
        <f t="shared" si="9"/>
        <v/>
      </c>
      <c r="J283" s="270" t="s">
        <v>9</v>
      </c>
      <c r="K283" s="256" t="s">
        <v>194</v>
      </c>
      <c r="L283" s="98"/>
      <c r="M283" s="98"/>
      <c r="N283" s="98"/>
      <c r="O283" s="98"/>
      <c r="P283" s="96"/>
      <c r="Q283" s="96"/>
      <c r="R283" s="96"/>
      <c r="S283" s="96"/>
      <c r="T283" s="94"/>
      <c r="U283" s="94"/>
    </row>
    <row r="284" spans="1:21" ht="15" x14ac:dyDescent="0.25">
      <c r="A284" s="154"/>
      <c r="B284" s="154"/>
      <c r="C284" s="266"/>
      <c r="D284" s="267"/>
      <c r="E284" s="257"/>
      <c r="F284" s="268"/>
      <c r="G284" s="271" t="str">
        <f t="shared" si="8"/>
        <v/>
      </c>
      <c r="H284" s="269"/>
      <c r="I284" s="271" t="str">
        <f t="shared" si="9"/>
        <v/>
      </c>
      <c r="J284" s="270" t="s">
        <v>9</v>
      </c>
      <c r="K284" s="256" t="s">
        <v>194</v>
      </c>
      <c r="L284" s="98"/>
      <c r="M284" s="98"/>
      <c r="N284" s="98"/>
      <c r="O284" s="98"/>
      <c r="P284" s="96"/>
      <c r="Q284" s="96"/>
      <c r="R284" s="96"/>
      <c r="S284" s="96"/>
      <c r="T284" s="94"/>
      <c r="U284" s="94"/>
    </row>
    <row r="285" spans="1:21" ht="15" x14ac:dyDescent="0.25">
      <c r="A285" s="154"/>
      <c r="B285" s="154"/>
      <c r="C285" s="266"/>
      <c r="D285" s="267"/>
      <c r="E285" s="257"/>
      <c r="F285" s="268"/>
      <c r="G285" s="271" t="str">
        <f t="shared" si="8"/>
        <v/>
      </c>
      <c r="H285" s="269"/>
      <c r="I285" s="271" t="str">
        <f t="shared" si="9"/>
        <v/>
      </c>
      <c r="J285" s="270" t="s">
        <v>9</v>
      </c>
      <c r="K285" s="256" t="s">
        <v>194</v>
      </c>
      <c r="L285" s="98"/>
      <c r="M285" s="98"/>
      <c r="N285" s="98"/>
      <c r="O285" s="98"/>
      <c r="P285" s="96"/>
      <c r="Q285" s="96"/>
      <c r="R285" s="96"/>
      <c r="S285" s="96"/>
      <c r="T285" s="94"/>
      <c r="U285" s="94"/>
    </row>
    <row r="286" spans="1:21" ht="15" x14ac:dyDescent="0.25">
      <c r="A286" s="154"/>
      <c r="B286" s="154"/>
      <c r="C286" s="266"/>
      <c r="D286" s="267"/>
      <c r="E286" s="257"/>
      <c r="F286" s="268"/>
      <c r="G286" s="271" t="str">
        <f t="shared" si="8"/>
        <v/>
      </c>
      <c r="H286" s="269"/>
      <c r="I286" s="271" t="str">
        <f t="shared" si="9"/>
        <v/>
      </c>
      <c r="J286" s="270" t="s">
        <v>9</v>
      </c>
      <c r="K286" s="256" t="s">
        <v>194</v>
      </c>
      <c r="L286" s="98"/>
      <c r="M286" s="98"/>
      <c r="N286" s="98"/>
      <c r="O286" s="98"/>
      <c r="P286" s="96"/>
      <c r="Q286" s="96"/>
      <c r="R286" s="96"/>
      <c r="S286" s="96"/>
      <c r="T286" s="94"/>
      <c r="U286" s="94"/>
    </row>
    <row r="287" spans="1:21" ht="15" x14ac:dyDescent="0.25">
      <c r="A287" s="154"/>
      <c r="B287" s="154"/>
      <c r="C287" s="266"/>
      <c r="D287" s="267"/>
      <c r="E287" s="257"/>
      <c r="F287" s="268"/>
      <c r="G287" s="271" t="str">
        <f t="shared" si="8"/>
        <v/>
      </c>
      <c r="H287" s="269"/>
      <c r="I287" s="271" t="str">
        <f t="shared" si="9"/>
        <v/>
      </c>
      <c r="J287" s="270" t="s">
        <v>9</v>
      </c>
      <c r="K287" s="256" t="s">
        <v>194</v>
      </c>
      <c r="L287" s="98"/>
      <c r="M287" s="98"/>
      <c r="N287" s="98"/>
      <c r="O287" s="98"/>
      <c r="P287" s="96"/>
      <c r="Q287" s="96"/>
      <c r="R287" s="96"/>
      <c r="S287" s="96"/>
      <c r="T287" s="94"/>
      <c r="U287" s="94"/>
    </row>
    <row r="288" spans="1:21" ht="15" x14ac:dyDescent="0.25">
      <c r="A288" s="154"/>
      <c r="B288" s="154"/>
      <c r="C288" s="266"/>
      <c r="D288" s="267"/>
      <c r="E288" s="257"/>
      <c r="F288" s="268"/>
      <c r="G288" s="271" t="str">
        <f t="shared" si="8"/>
        <v/>
      </c>
      <c r="H288" s="269"/>
      <c r="I288" s="271" t="str">
        <f t="shared" si="9"/>
        <v/>
      </c>
      <c r="J288" s="270" t="s">
        <v>9</v>
      </c>
      <c r="K288" s="256" t="s">
        <v>194</v>
      </c>
      <c r="L288" s="98"/>
      <c r="M288" s="98"/>
      <c r="N288" s="98"/>
      <c r="O288" s="98"/>
      <c r="P288" s="96"/>
      <c r="Q288" s="96"/>
      <c r="R288" s="96"/>
      <c r="S288" s="96"/>
      <c r="T288" s="94"/>
      <c r="U288" s="94"/>
    </row>
    <row r="289" spans="1:21" ht="15" x14ac:dyDescent="0.25">
      <c r="A289" s="154"/>
      <c r="B289" s="154"/>
      <c r="C289" s="266"/>
      <c r="D289" s="267"/>
      <c r="E289" s="257"/>
      <c r="F289" s="268"/>
      <c r="G289" s="271" t="str">
        <f t="shared" si="8"/>
        <v/>
      </c>
      <c r="H289" s="269"/>
      <c r="I289" s="271" t="str">
        <f t="shared" si="9"/>
        <v/>
      </c>
      <c r="J289" s="270" t="s">
        <v>9</v>
      </c>
      <c r="K289" s="256" t="s">
        <v>194</v>
      </c>
      <c r="L289" s="98"/>
      <c r="M289" s="98"/>
      <c r="N289" s="98"/>
      <c r="O289" s="98"/>
      <c r="P289" s="96"/>
      <c r="Q289" s="96"/>
      <c r="R289" s="96"/>
      <c r="S289" s="96"/>
      <c r="T289" s="94"/>
      <c r="U289" s="94"/>
    </row>
    <row r="290" spans="1:21" ht="15" x14ac:dyDescent="0.25">
      <c r="A290" s="154"/>
      <c r="B290" s="154"/>
      <c r="C290" s="266"/>
      <c r="D290" s="267"/>
      <c r="E290" s="257"/>
      <c r="F290" s="268"/>
      <c r="G290" s="271" t="str">
        <f t="shared" si="8"/>
        <v/>
      </c>
      <c r="H290" s="269"/>
      <c r="I290" s="271" t="str">
        <f t="shared" si="9"/>
        <v/>
      </c>
      <c r="J290" s="270" t="s">
        <v>9</v>
      </c>
      <c r="K290" s="256" t="s">
        <v>194</v>
      </c>
      <c r="L290" s="98"/>
      <c r="M290" s="98"/>
      <c r="N290" s="98"/>
      <c r="O290" s="98"/>
      <c r="P290" s="96"/>
      <c r="Q290" s="96"/>
      <c r="R290" s="96"/>
      <c r="S290" s="96"/>
      <c r="T290" s="94"/>
      <c r="U290" s="94"/>
    </row>
    <row r="291" spans="1:21" ht="15" x14ac:dyDescent="0.25">
      <c r="A291" s="154"/>
      <c r="B291" s="154"/>
      <c r="C291" s="266"/>
      <c r="D291" s="267"/>
      <c r="E291" s="257"/>
      <c r="F291" s="268"/>
      <c r="G291" s="271" t="str">
        <f t="shared" si="8"/>
        <v/>
      </c>
      <c r="H291" s="269"/>
      <c r="I291" s="271" t="str">
        <f t="shared" si="9"/>
        <v/>
      </c>
      <c r="J291" s="270" t="s">
        <v>9</v>
      </c>
      <c r="K291" s="256" t="s">
        <v>194</v>
      </c>
      <c r="L291" s="98"/>
      <c r="M291" s="98"/>
      <c r="N291" s="98"/>
      <c r="O291" s="98"/>
      <c r="P291" s="96"/>
      <c r="Q291" s="96"/>
      <c r="R291" s="96"/>
      <c r="S291" s="96"/>
      <c r="T291" s="94"/>
      <c r="U291" s="94"/>
    </row>
    <row r="292" spans="1:21" ht="15" x14ac:dyDescent="0.25">
      <c r="A292" s="154"/>
      <c r="B292" s="154"/>
      <c r="C292" s="266"/>
      <c r="D292" s="267"/>
      <c r="E292" s="257"/>
      <c r="F292" s="268"/>
      <c r="G292" s="271" t="str">
        <f t="shared" si="8"/>
        <v/>
      </c>
      <c r="H292" s="269"/>
      <c r="I292" s="271" t="str">
        <f t="shared" si="9"/>
        <v/>
      </c>
      <c r="J292" s="270" t="s">
        <v>9</v>
      </c>
      <c r="K292" s="256" t="s">
        <v>194</v>
      </c>
      <c r="L292" s="98"/>
      <c r="M292" s="98"/>
      <c r="N292" s="98"/>
      <c r="O292" s="98"/>
      <c r="P292" s="96"/>
      <c r="Q292" s="96"/>
      <c r="R292" s="96"/>
      <c r="S292" s="96"/>
      <c r="T292" s="94"/>
      <c r="U292" s="94"/>
    </row>
    <row r="293" spans="1:21" ht="15" x14ac:dyDescent="0.25">
      <c r="A293" s="154"/>
      <c r="B293" s="154"/>
      <c r="C293" s="266"/>
      <c r="D293" s="267"/>
      <c r="E293" s="257"/>
      <c r="F293" s="268"/>
      <c r="G293" s="271" t="str">
        <f t="shared" si="8"/>
        <v/>
      </c>
      <c r="H293" s="269"/>
      <c r="I293" s="271" t="str">
        <f t="shared" si="9"/>
        <v/>
      </c>
      <c r="J293" s="270" t="s">
        <v>9</v>
      </c>
      <c r="K293" s="256" t="s">
        <v>194</v>
      </c>
      <c r="L293" s="98"/>
      <c r="M293" s="98"/>
      <c r="N293" s="98"/>
      <c r="O293" s="98"/>
      <c r="P293" s="96"/>
      <c r="Q293" s="96"/>
      <c r="R293" s="96"/>
      <c r="S293" s="96"/>
      <c r="T293" s="94"/>
      <c r="U293" s="94"/>
    </row>
    <row r="294" spans="1:21" ht="15" x14ac:dyDescent="0.25">
      <c r="A294" s="154"/>
      <c r="B294" s="154"/>
      <c r="C294" s="266"/>
      <c r="D294" s="267"/>
      <c r="E294" s="257"/>
      <c r="F294" s="268"/>
      <c r="G294" s="271" t="str">
        <f t="shared" si="8"/>
        <v/>
      </c>
      <c r="H294" s="269"/>
      <c r="I294" s="271" t="str">
        <f t="shared" si="9"/>
        <v/>
      </c>
      <c r="J294" s="270" t="s">
        <v>9</v>
      </c>
      <c r="K294" s="256" t="s">
        <v>194</v>
      </c>
      <c r="L294" s="98"/>
      <c r="M294" s="98"/>
      <c r="N294" s="98"/>
      <c r="O294" s="98"/>
      <c r="P294" s="96"/>
      <c r="Q294" s="96"/>
      <c r="R294" s="96"/>
      <c r="S294" s="96"/>
      <c r="T294" s="94"/>
      <c r="U294" s="94"/>
    </row>
    <row r="295" spans="1:21" ht="15" x14ac:dyDescent="0.25">
      <c r="A295" s="154"/>
      <c r="B295" s="154"/>
      <c r="C295" s="266"/>
      <c r="D295" s="267"/>
      <c r="E295" s="257"/>
      <c r="F295" s="268"/>
      <c r="G295" s="271" t="str">
        <f t="shared" si="8"/>
        <v/>
      </c>
      <c r="H295" s="269"/>
      <c r="I295" s="271" t="str">
        <f t="shared" si="9"/>
        <v/>
      </c>
      <c r="J295" s="270" t="s">
        <v>9</v>
      </c>
      <c r="K295" s="256" t="s">
        <v>194</v>
      </c>
      <c r="L295" s="98"/>
      <c r="M295" s="98"/>
      <c r="N295" s="98"/>
      <c r="O295" s="98"/>
      <c r="P295" s="96"/>
      <c r="Q295" s="96"/>
      <c r="R295" s="96"/>
      <c r="S295" s="96"/>
      <c r="T295" s="94"/>
      <c r="U295" s="94"/>
    </row>
    <row r="296" spans="1:21" ht="15" x14ac:dyDescent="0.25">
      <c r="A296" s="154"/>
      <c r="B296" s="154"/>
      <c r="C296" s="266"/>
      <c r="D296" s="267"/>
      <c r="E296" s="257"/>
      <c r="F296" s="268"/>
      <c r="G296" s="271" t="str">
        <f t="shared" si="8"/>
        <v/>
      </c>
      <c r="H296" s="269"/>
      <c r="I296" s="271" t="str">
        <f t="shared" si="9"/>
        <v/>
      </c>
      <c r="J296" s="270" t="s">
        <v>9</v>
      </c>
      <c r="K296" s="256" t="s">
        <v>194</v>
      </c>
      <c r="L296" s="98"/>
      <c r="M296" s="98"/>
      <c r="N296" s="98"/>
      <c r="O296" s="98"/>
      <c r="P296" s="96"/>
      <c r="Q296" s="96"/>
      <c r="R296" s="96"/>
      <c r="S296" s="96"/>
      <c r="T296" s="94"/>
      <c r="U296" s="94"/>
    </row>
    <row r="297" spans="1:21" ht="15" x14ac:dyDescent="0.25">
      <c r="A297" s="154"/>
      <c r="B297" s="154"/>
      <c r="C297" s="266"/>
      <c r="D297" s="267"/>
      <c r="E297" s="257"/>
      <c r="F297" s="268"/>
      <c r="G297" s="271" t="str">
        <f t="shared" si="8"/>
        <v/>
      </c>
      <c r="H297" s="269"/>
      <c r="I297" s="271" t="str">
        <f t="shared" si="9"/>
        <v/>
      </c>
      <c r="J297" s="270" t="s">
        <v>9</v>
      </c>
      <c r="K297" s="256" t="s">
        <v>194</v>
      </c>
      <c r="L297" s="98"/>
      <c r="M297" s="98"/>
      <c r="N297" s="98"/>
      <c r="O297" s="98"/>
      <c r="P297" s="96"/>
      <c r="Q297" s="96"/>
      <c r="R297" s="96"/>
      <c r="S297" s="96"/>
      <c r="T297" s="94"/>
      <c r="U297" s="94"/>
    </row>
    <row r="298" spans="1:21" ht="15" x14ac:dyDescent="0.25">
      <c r="A298" s="154"/>
      <c r="B298" s="154"/>
      <c r="C298" s="266"/>
      <c r="D298" s="267"/>
      <c r="E298" s="257"/>
      <c r="F298" s="268"/>
      <c r="G298" s="271" t="str">
        <f t="shared" si="8"/>
        <v/>
      </c>
      <c r="H298" s="269"/>
      <c r="I298" s="271" t="str">
        <f t="shared" si="9"/>
        <v/>
      </c>
      <c r="J298" s="270" t="s">
        <v>9</v>
      </c>
      <c r="K298" s="256" t="s">
        <v>194</v>
      </c>
      <c r="L298" s="98"/>
      <c r="M298" s="98"/>
      <c r="N298" s="98"/>
      <c r="O298" s="98"/>
      <c r="P298" s="96"/>
      <c r="Q298" s="96"/>
      <c r="R298" s="96"/>
      <c r="S298" s="96"/>
      <c r="T298" s="94"/>
      <c r="U298" s="94"/>
    </row>
    <row r="299" spans="1:21" ht="15" x14ac:dyDescent="0.25">
      <c r="A299" s="154"/>
      <c r="B299" s="154"/>
      <c r="C299" s="266"/>
      <c r="D299" s="267"/>
      <c r="E299" s="257"/>
      <c r="F299" s="268"/>
      <c r="G299" s="271" t="str">
        <f t="shared" si="8"/>
        <v/>
      </c>
      <c r="H299" s="269"/>
      <c r="I299" s="271" t="str">
        <f t="shared" si="9"/>
        <v/>
      </c>
      <c r="J299" s="270" t="s">
        <v>9</v>
      </c>
      <c r="K299" s="256" t="s">
        <v>194</v>
      </c>
      <c r="L299" s="98"/>
      <c r="M299" s="98"/>
      <c r="N299" s="98"/>
      <c r="O299" s="98"/>
      <c r="P299" s="96"/>
      <c r="Q299" s="96"/>
      <c r="R299" s="96"/>
      <c r="S299" s="96"/>
      <c r="T299" s="94"/>
      <c r="U299" s="94"/>
    </row>
    <row r="300" spans="1:21" ht="15" x14ac:dyDescent="0.25">
      <c r="A300" s="154"/>
      <c r="B300" s="154"/>
      <c r="C300" s="266"/>
      <c r="D300" s="267"/>
      <c r="E300" s="257"/>
      <c r="F300" s="268"/>
      <c r="G300" s="271" t="str">
        <f t="shared" si="8"/>
        <v/>
      </c>
      <c r="H300" s="269"/>
      <c r="I300" s="271" t="str">
        <f t="shared" si="9"/>
        <v/>
      </c>
      <c r="J300" s="270" t="s">
        <v>9</v>
      </c>
      <c r="K300" s="256" t="s">
        <v>194</v>
      </c>
      <c r="L300" s="98"/>
      <c r="M300" s="98"/>
      <c r="N300" s="98"/>
      <c r="O300" s="98"/>
      <c r="P300" s="96"/>
      <c r="Q300" s="96"/>
      <c r="R300" s="96"/>
      <c r="S300" s="96"/>
      <c r="T300" s="94"/>
      <c r="U300" s="94"/>
    </row>
    <row r="301" spans="1:21" ht="15" x14ac:dyDescent="0.25">
      <c r="A301" s="154"/>
      <c r="B301" s="154"/>
      <c r="C301" s="266"/>
      <c r="D301" s="267"/>
      <c r="E301" s="257"/>
      <c r="F301" s="268"/>
      <c r="G301" s="271" t="str">
        <f t="shared" si="8"/>
        <v/>
      </c>
      <c r="H301" s="269"/>
      <c r="I301" s="271" t="str">
        <f t="shared" si="9"/>
        <v/>
      </c>
      <c r="J301" s="270" t="s">
        <v>9</v>
      </c>
      <c r="K301" s="256" t="s">
        <v>194</v>
      </c>
      <c r="L301" s="98"/>
      <c r="M301" s="98"/>
      <c r="N301" s="98"/>
      <c r="O301" s="98"/>
      <c r="P301" s="96"/>
      <c r="Q301" s="96"/>
      <c r="R301" s="96"/>
      <c r="S301" s="96"/>
      <c r="T301" s="94"/>
      <c r="U301" s="94"/>
    </row>
    <row r="302" spans="1:21" ht="15" x14ac:dyDescent="0.25">
      <c r="A302" s="154"/>
      <c r="B302" s="154"/>
      <c r="C302" s="266"/>
      <c r="D302" s="267"/>
      <c r="E302" s="257"/>
      <c r="F302" s="268"/>
      <c r="G302" s="271" t="str">
        <f t="shared" si="8"/>
        <v/>
      </c>
      <c r="H302" s="269"/>
      <c r="I302" s="271" t="str">
        <f t="shared" si="9"/>
        <v/>
      </c>
      <c r="J302" s="270" t="s">
        <v>9</v>
      </c>
      <c r="K302" s="256" t="s">
        <v>194</v>
      </c>
      <c r="L302" s="98"/>
      <c r="M302" s="98"/>
      <c r="N302" s="98"/>
      <c r="O302" s="98"/>
      <c r="P302" s="96"/>
      <c r="Q302" s="96"/>
      <c r="R302" s="96"/>
      <c r="S302" s="96"/>
      <c r="T302" s="94"/>
      <c r="U302" s="94"/>
    </row>
    <row r="303" spans="1:21" ht="15" x14ac:dyDescent="0.25">
      <c r="A303" s="154"/>
      <c r="B303" s="154"/>
      <c r="C303" s="266"/>
      <c r="D303" s="267"/>
      <c r="E303" s="257"/>
      <c r="F303" s="268"/>
      <c r="G303" s="271" t="str">
        <f t="shared" si="8"/>
        <v/>
      </c>
      <c r="H303" s="269"/>
      <c r="I303" s="271" t="str">
        <f t="shared" si="9"/>
        <v/>
      </c>
      <c r="J303" s="270" t="s">
        <v>9</v>
      </c>
      <c r="K303" s="256" t="s">
        <v>194</v>
      </c>
      <c r="L303" s="98"/>
      <c r="M303" s="98"/>
      <c r="N303" s="98"/>
      <c r="O303" s="98"/>
      <c r="P303" s="96"/>
      <c r="Q303" s="96"/>
      <c r="R303" s="96"/>
      <c r="S303" s="96"/>
      <c r="T303" s="94"/>
      <c r="U303" s="94"/>
    </row>
    <row r="304" spans="1:21" ht="15" x14ac:dyDescent="0.25">
      <c r="A304" s="154"/>
      <c r="B304" s="154"/>
      <c r="C304" s="266"/>
      <c r="D304" s="267"/>
      <c r="E304" s="257"/>
      <c r="F304" s="268"/>
      <c r="G304" s="271" t="str">
        <f t="shared" si="8"/>
        <v/>
      </c>
      <c r="H304" s="269"/>
      <c r="I304" s="271" t="str">
        <f t="shared" si="9"/>
        <v/>
      </c>
      <c r="J304" s="270" t="s">
        <v>9</v>
      </c>
      <c r="K304" s="256" t="s">
        <v>194</v>
      </c>
      <c r="L304" s="98"/>
      <c r="M304" s="98"/>
      <c r="N304" s="98"/>
      <c r="O304" s="98"/>
      <c r="P304" s="96"/>
      <c r="Q304" s="96"/>
      <c r="R304" s="96"/>
      <c r="S304" s="96"/>
      <c r="T304" s="94"/>
      <c r="U304" s="94"/>
    </row>
    <row r="305" spans="1:21" ht="15" x14ac:dyDescent="0.25">
      <c r="A305" s="154"/>
      <c r="B305" s="154"/>
      <c r="C305" s="266"/>
      <c r="D305" s="267"/>
      <c r="E305" s="257"/>
      <c r="F305" s="268"/>
      <c r="G305" s="271" t="str">
        <f t="shared" si="8"/>
        <v/>
      </c>
      <c r="H305" s="269"/>
      <c r="I305" s="271" t="str">
        <f t="shared" si="9"/>
        <v/>
      </c>
      <c r="J305" s="270" t="s">
        <v>9</v>
      </c>
      <c r="K305" s="256" t="s">
        <v>194</v>
      </c>
      <c r="L305" s="98"/>
      <c r="M305" s="98"/>
      <c r="N305" s="98"/>
      <c r="O305" s="98"/>
      <c r="P305" s="96"/>
      <c r="Q305" s="96"/>
      <c r="R305" s="96"/>
      <c r="S305" s="96"/>
      <c r="T305" s="94"/>
      <c r="U305" s="94"/>
    </row>
    <row r="306" spans="1:21" ht="15" x14ac:dyDescent="0.25">
      <c r="A306" s="154"/>
      <c r="B306" s="154"/>
      <c r="C306" s="266"/>
      <c r="D306" s="267"/>
      <c r="E306" s="257"/>
      <c r="F306" s="268"/>
      <c r="G306" s="271" t="str">
        <f t="shared" si="8"/>
        <v/>
      </c>
      <c r="H306" s="269"/>
      <c r="I306" s="271" t="str">
        <f t="shared" si="9"/>
        <v/>
      </c>
      <c r="J306" s="270" t="s">
        <v>9</v>
      </c>
      <c r="K306" s="256" t="s">
        <v>194</v>
      </c>
      <c r="L306" s="98"/>
      <c r="M306" s="98"/>
      <c r="N306" s="98"/>
      <c r="O306" s="98"/>
      <c r="P306" s="96"/>
      <c r="Q306" s="96"/>
      <c r="R306" s="96"/>
      <c r="S306" s="96"/>
      <c r="T306" s="94"/>
      <c r="U306" s="94"/>
    </row>
    <row r="307" spans="1:21" ht="15" x14ac:dyDescent="0.25">
      <c r="A307" s="154"/>
      <c r="B307" s="154"/>
      <c r="C307" s="266"/>
      <c r="D307" s="267"/>
      <c r="E307" s="257"/>
      <c r="F307" s="268"/>
      <c r="G307" s="271" t="str">
        <f t="shared" si="8"/>
        <v/>
      </c>
      <c r="H307" s="269"/>
      <c r="I307" s="271" t="str">
        <f t="shared" si="9"/>
        <v/>
      </c>
      <c r="J307" s="270" t="s">
        <v>9</v>
      </c>
      <c r="K307" s="256" t="s">
        <v>194</v>
      </c>
      <c r="L307" s="98"/>
      <c r="M307" s="98"/>
      <c r="N307" s="98"/>
      <c r="O307" s="98"/>
      <c r="P307" s="96"/>
      <c r="Q307" s="96"/>
      <c r="R307" s="96"/>
      <c r="S307" s="96"/>
      <c r="T307" s="94"/>
      <c r="U307" s="94"/>
    </row>
    <row r="308" spans="1:21" ht="15" x14ac:dyDescent="0.25">
      <c r="A308" s="154"/>
      <c r="B308" s="154"/>
      <c r="C308" s="266"/>
      <c r="D308" s="267"/>
      <c r="E308" s="257"/>
      <c r="F308" s="268"/>
      <c r="G308" s="271" t="str">
        <f t="shared" si="8"/>
        <v/>
      </c>
      <c r="H308" s="269"/>
      <c r="I308" s="271" t="str">
        <f t="shared" si="9"/>
        <v/>
      </c>
      <c r="J308" s="270" t="s">
        <v>9</v>
      </c>
      <c r="K308" s="256" t="s">
        <v>194</v>
      </c>
      <c r="L308" s="98"/>
      <c r="M308" s="98"/>
      <c r="N308" s="98"/>
      <c r="O308" s="98"/>
      <c r="P308" s="96"/>
      <c r="Q308" s="96"/>
      <c r="R308" s="96"/>
      <c r="S308" s="96"/>
      <c r="T308" s="94"/>
      <c r="U308" s="94"/>
    </row>
    <row r="309" spans="1:21" ht="15" x14ac:dyDescent="0.25">
      <c r="A309" s="154"/>
      <c r="B309" s="154"/>
      <c r="C309" s="266"/>
      <c r="D309" s="267"/>
      <c r="E309" s="257"/>
      <c r="F309" s="268"/>
      <c r="G309" s="271" t="str">
        <f t="shared" si="8"/>
        <v/>
      </c>
      <c r="H309" s="269"/>
      <c r="I309" s="271" t="str">
        <f t="shared" si="9"/>
        <v/>
      </c>
      <c r="J309" s="270" t="s">
        <v>9</v>
      </c>
      <c r="K309" s="256" t="s">
        <v>194</v>
      </c>
      <c r="L309" s="98"/>
      <c r="M309" s="98"/>
      <c r="N309" s="98"/>
      <c r="O309" s="98"/>
      <c r="P309" s="96"/>
      <c r="Q309" s="96"/>
      <c r="R309" s="96"/>
      <c r="S309" s="96"/>
      <c r="T309" s="94"/>
      <c r="U309" s="94"/>
    </row>
    <row r="310" spans="1:21" ht="15" x14ac:dyDescent="0.25">
      <c r="A310" s="154"/>
      <c r="B310" s="154"/>
      <c r="C310" s="266"/>
      <c r="D310" s="267"/>
      <c r="E310" s="257"/>
      <c r="F310" s="268"/>
      <c r="G310" s="271" t="str">
        <f t="shared" si="8"/>
        <v/>
      </c>
      <c r="H310" s="269"/>
      <c r="I310" s="271" t="str">
        <f t="shared" si="9"/>
        <v/>
      </c>
      <c r="J310" s="270" t="s">
        <v>9</v>
      </c>
      <c r="K310" s="256" t="s">
        <v>194</v>
      </c>
      <c r="L310" s="98"/>
      <c r="M310" s="98"/>
      <c r="N310" s="98"/>
      <c r="O310" s="98"/>
      <c r="P310" s="96"/>
      <c r="Q310" s="96"/>
      <c r="R310" s="96"/>
      <c r="S310" s="96"/>
      <c r="T310" s="94"/>
      <c r="U310" s="94"/>
    </row>
    <row r="311" spans="1:21" ht="15" x14ac:dyDescent="0.25">
      <c r="A311" s="154"/>
      <c r="B311" s="154"/>
      <c r="C311" s="266"/>
      <c r="D311" s="267"/>
      <c r="E311" s="257"/>
      <c r="F311" s="268"/>
      <c r="G311" s="271" t="str">
        <f t="shared" si="8"/>
        <v/>
      </c>
      <c r="H311" s="269"/>
      <c r="I311" s="271" t="str">
        <f t="shared" si="9"/>
        <v/>
      </c>
      <c r="J311" s="270" t="s">
        <v>9</v>
      </c>
      <c r="K311" s="256" t="s">
        <v>194</v>
      </c>
      <c r="L311" s="98"/>
      <c r="M311" s="98"/>
      <c r="N311" s="98"/>
      <c r="O311" s="98"/>
      <c r="P311" s="96"/>
      <c r="Q311" s="96"/>
      <c r="R311" s="96"/>
      <c r="S311" s="96"/>
      <c r="T311" s="94"/>
      <c r="U311" s="94"/>
    </row>
    <row r="312" spans="1:21" ht="15" x14ac:dyDescent="0.25">
      <c r="A312" s="154"/>
      <c r="B312" s="154"/>
      <c r="C312" s="266"/>
      <c r="D312" s="267"/>
      <c r="E312" s="257"/>
      <c r="F312" s="268"/>
      <c r="G312" s="271" t="str">
        <f t="shared" si="8"/>
        <v/>
      </c>
      <c r="H312" s="269"/>
      <c r="I312" s="271" t="str">
        <f t="shared" si="9"/>
        <v/>
      </c>
      <c r="J312" s="270" t="s">
        <v>9</v>
      </c>
      <c r="K312" s="256" t="s">
        <v>194</v>
      </c>
      <c r="L312" s="98"/>
      <c r="M312" s="98"/>
      <c r="N312" s="98"/>
      <c r="O312" s="98"/>
      <c r="P312" s="96"/>
      <c r="Q312" s="96"/>
      <c r="R312" s="96"/>
      <c r="S312" s="96"/>
      <c r="T312" s="94"/>
      <c r="U312" s="94"/>
    </row>
    <row r="313" spans="1:21" ht="15" x14ac:dyDescent="0.25">
      <c r="A313" s="154"/>
      <c r="B313" s="154"/>
      <c r="C313" s="266"/>
      <c r="D313" s="267"/>
      <c r="E313" s="257"/>
      <c r="F313" s="268"/>
      <c r="G313" s="271" t="str">
        <f t="shared" si="8"/>
        <v/>
      </c>
      <c r="H313" s="269"/>
      <c r="I313" s="271" t="str">
        <f t="shared" si="9"/>
        <v/>
      </c>
      <c r="J313" s="270" t="s">
        <v>9</v>
      </c>
      <c r="K313" s="256" t="s">
        <v>194</v>
      </c>
      <c r="L313" s="98"/>
      <c r="M313" s="98"/>
      <c r="N313" s="98"/>
      <c r="O313" s="98"/>
      <c r="P313" s="96"/>
      <c r="Q313" s="96"/>
      <c r="R313" s="96"/>
      <c r="S313" s="96"/>
      <c r="T313" s="94"/>
      <c r="U313" s="94"/>
    </row>
    <row r="314" spans="1:21" ht="15" x14ac:dyDescent="0.25">
      <c r="A314" s="154"/>
      <c r="B314" s="154"/>
      <c r="C314" s="266"/>
      <c r="D314" s="267"/>
      <c r="E314" s="257"/>
      <c r="F314" s="268"/>
      <c r="G314" s="271" t="str">
        <f t="shared" si="8"/>
        <v/>
      </c>
      <c r="H314" s="269"/>
      <c r="I314" s="271" t="str">
        <f t="shared" si="9"/>
        <v/>
      </c>
      <c r="J314" s="270" t="s">
        <v>9</v>
      </c>
      <c r="K314" s="256" t="s">
        <v>194</v>
      </c>
      <c r="L314" s="98"/>
      <c r="M314" s="98"/>
      <c r="N314" s="98"/>
      <c r="O314" s="98"/>
      <c r="P314" s="96"/>
      <c r="Q314" s="96"/>
      <c r="R314" s="96"/>
      <c r="S314" s="96"/>
      <c r="T314" s="94"/>
      <c r="U314" s="94"/>
    </row>
    <row r="315" spans="1:21" ht="15" x14ac:dyDescent="0.25">
      <c r="A315" s="154"/>
      <c r="B315" s="154"/>
      <c r="C315" s="266"/>
      <c r="D315" s="267"/>
      <c r="E315" s="257"/>
      <c r="F315" s="268"/>
      <c r="G315" s="271" t="str">
        <f t="shared" si="8"/>
        <v/>
      </c>
      <c r="H315" s="269"/>
      <c r="I315" s="271" t="str">
        <f t="shared" si="9"/>
        <v/>
      </c>
      <c r="J315" s="270" t="s">
        <v>9</v>
      </c>
      <c r="K315" s="256" t="s">
        <v>194</v>
      </c>
      <c r="L315" s="98"/>
      <c r="M315" s="98"/>
      <c r="N315" s="98"/>
      <c r="O315" s="98"/>
      <c r="P315" s="96"/>
      <c r="Q315" s="96"/>
      <c r="R315" s="96"/>
      <c r="S315" s="96"/>
      <c r="T315" s="94"/>
      <c r="U315" s="94"/>
    </row>
    <row r="316" spans="1:21" ht="15" x14ac:dyDescent="0.25">
      <c r="A316" s="154"/>
      <c r="B316" s="154"/>
      <c r="C316" s="266"/>
      <c r="D316" s="267"/>
      <c r="E316" s="257"/>
      <c r="F316" s="268"/>
      <c r="G316" s="271" t="str">
        <f t="shared" si="8"/>
        <v/>
      </c>
      <c r="H316" s="269"/>
      <c r="I316" s="271" t="str">
        <f t="shared" si="9"/>
        <v/>
      </c>
      <c r="J316" s="270" t="s">
        <v>9</v>
      </c>
      <c r="K316" s="256" t="s">
        <v>194</v>
      </c>
      <c r="L316" s="98"/>
      <c r="M316" s="98"/>
      <c r="N316" s="98"/>
      <c r="O316" s="98"/>
      <c r="P316" s="96"/>
      <c r="Q316" s="96"/>
      <c r="R316" s="96"/>
      <c r="S316" s="96"/>
      <c r="T316" s="94"/>
      <c r="U316" s="94"/>
    </row>
    <row r="317" spans="1:21" ht="15" x14ac:dyDescent="0.25">
      <c r="A317" s="154"/>
      <c r="B317" s="154"/>
      <c r="C317" s="266"/>
      <c r="D317" s="267"/>
      <c r="E317" s="257"/>
      <c r="F317" s="268"/>
      <c r="G317" s="271" t="str">
        <f t="shared" si="8"/>
        <v/>
      </c>
      <c r="H317" s="269"/>
      <c r="I317" s="271" t="str">
        <f t="shared" si="9"/>
        <v/>
      </c>
      <c r="J317" s="270" t="s">
        <v>9</v>
      </c>
      <c r="K317" s="256" t="s">
        <v>194</v>
      </c>
      <c r="L317" s="98"/>
      <c r="M317" s="98"/>
      <c r="N317" s="98"/>
      <c r="O317" s="98"/>
      <c r="P317" s="96"/>
      <c r="Q317" s="96"/>
      <c r="R317" s="96"/>
      <c r="S317" s="96"/>
      <c r="T317" s="94"/>
      <c r="U317" s="94"/>
    </row>
    <row r="318" spans="1:21" ht="15" x14ac:dyDescent="0.25">
      <c r="A318" s="154"/>
      <c r="B318" s="154"/>
      <c r="C318" s="266"/>
      <c r="D318" s="267"/>
      <c r="E318" s="257"/>
      <c r="F318" s="268"/>
      <c r="G318" s="271" t="str">
        <f t="shared" si="8"/>
        <v/>
      </c>
      <c r="H318" s="269"/>
      <c r="I318" s="271" t="str">
        <f t="shared" si="9"/>
        <v/>
      </c>
      <c r="J318" s="270" t="s">
        <v>9</v>
      </c>
      <c r="K318" s="256" t="s">
        <v>194</v>
      </c>
      <c r="L318" s="98"/>
      <c r="M318" s="98"/>
      <c r="N318" s="98"/>
      <c r="O318" s="98"/>
      <c r="P318" s="96"/>
      <c r="Q318" s="96"/>
      <c r="R318" s="96"/>
      <c r="S318" s="96"/>
      <c r="T318" s="94"/>
      <c r="U318" s="94"/>
    </row>
    <row r="319" spans="1:21" ht="15" x14ac:dyDescent="0.25">
      <c r="A319" s="154"/>
      <c r="B319" s="154"/>
      <c r="C319" s="266"/>
      <c r="D319" s="267"/>
      <c r="E319" s="257"/>
      <c r="F319" s="268"/>
      <c r="G319" s="271" t="str">
        <f t="shared" si="8"/>
        <v/>
      </c>
      <c r="H319" s="269"/>
      <c r="I319" s="271" t="str">
        <f t="shared" si="9"/>
        <v/>
      </c>
      <c r="J319" s="270" t="s">
        <v>9</v>
      </c>
      <c r="K319" s="256" t="s">
        <v>194</v>
      </c>
      <c r="L319" s="98"/>
      <c r="M319" s="98"/>
      <c r="N319" s="98"/>
      <c r="O319" s="98"/>
      <c r="P319" s="96"/>
      <c r="Q319" s="96"/>
      <c r="R319" s="96"/>
      <c r="S319" s="96"/>
      <c r="T319" s="94"/>
      <c r="U319" s="94"/>
    </row>
    <row r="320" spans="1:21" ht="15" x14ac:dyDescent="0.25">
      <c r="A320" s="154"/>
      <c r="B320" s="154"/>
      <c r="C320" s="266"/>
      <c r="D320" s="267"/>
      <c r="E320" s="257"/>
      <c r="F320" s="268"/>
      <c r="G320" s="271" t="str">
        <f t="shared" si="8"/>
        <v/>
      </c>
      <c r="H320" s="269"/>
      <c r="I320" s="271" t="str">
        <f t="shared" si="9"/>
        <v/>
      </c>
      <c r="J320" s="270" t="s">
        <v>9</v>
      </c>
      <c r="K320" s="256" t="s">
        <v>194</v>
      </c>
      <c r="L320" s="98"/>
      <c r="M320" s="98"/>
      <c r="N320" s="98"/>
      <c r="O320" s="98"/>
      <c r="P320" s="96"/>
      <c r="Q320" s="96"/>
      <c r="R320" s="96"/>
      <c r="S320" s="96"/>
      <c r="T320" s="94"/>
      <c r="U320" s="94"/>
    </row>
    <row r="321" spans="1:21" ht="15" x14ac:dyDescent="0.25">
      <c r="A321" s="154"/>
      <c r="B321" s="154"/>
      <c r="C321" s="266"/>
      <c r="D321" s="267"/>
      <c r="E321" s="257"/>
      <c r="F321" s="268"/>
      <c r="G321" s="271" t="str">
        <f t="shared" si="8"/>
        <v/>
      </c>
      <c r="H321" s="269"/>
      <c r="I321" s="271" t="str">
        <f t="shared" si="9"/>
        <v/>
      </c>
      <c r="J321" s="270" t="s">
        <v>9</v>
      </c>
      <c r="K321" s="256" t="s">
        <v>194</v>
      </c>
      <c r="L321" s="98"/>
      <c r="M321" s="98"/>
      <c r="N321" s="98"/>
      <c r="O321" s="98"/>
      <c r="P321" s="96"/>
      <c r="Q321" s="96"/>
      <c r="R321" s="96"/>
      <c r="S321" s="96"/>
      <c r="T321" s="94"/>
      <c r="U321" s="94"/>
    </row>
    <row r="322" spans="1:21" ht="15" x14ac:dyDescent="0.25">
      <c r="A322" s="154"/>
      <c r="B322" s="154"/>
      <c r="C322" s="266"/>
      <c r="D322" s="267"/>
      <c r="E322" s="257"/>
      <c r="F322" s="268"/>
      <c r="G322" s="271" t="str">
        <f t="shared" si="8"/>
        <v/>
      </c>
      <c r="H322" s="269"/>
      <c r="I322" s="271" t="str">
        <f t="shared" si="9"/>
        <v/>
      </c>
      <c r="J322" s="270" t="s">
        <v>9</v>
      </c>
      <c r="K322" s="256" t="s">
        <v>194</v>
      </c>
      <c r="L322" s="98"/>
      <c r="M322" s="98"/>
      <c r="N322" s="98"/>
      <c r="O322" s="98"/>
      <c r="P322" s="96"/>
      <c r="Q322" s="96"/>
      <c r="R322" s="96"/>
      <c r="S322" s="96"/>
      <c r="T322" s="94"/>
      <c r="U322" s="94"/>
    </row>
    <row r="323" spans="1:21" ht="15" x14ac:dyDescent="0.25">
      <c r="A323" s="154"/>
      <c r="B323" s="154"/>
      <c r="C323" s="266"/>
      <c r="D323" s="267"/>
      <c r="E323" s="257"/>
      <c r="F323" s="268"/>
      <c r="G323" s="271" t="str">
        <f t="shared" si="8"/>
        <v/>
      </c>
      <c r="H323" s="269"/>
      <c r="I323" s="271" t="str">
        <f t="shared" si="9"/>
        <v/>
      </c>
      <c r="J323" s="270" t="s">
        <v>9</v>
      </c>
      <c r="K323" s="256" t="s">
        <v>194</v>
      </c>
      <c r="L323" s="98"/>
      <c r="M323" s="98"/>
      <c r="N323" s="98"/>
      <c r="O323" s="98"/>
      <c r="P323" s="96"/>
      <c r="Q323" s="96"/>
      <c r="R323" s="96"/>
      <c r="S323" s="96"/>
      <c r="T323" s="94"/>
      <c r="U323" s="94"/>
    </row>
    <row r="324" spans="1:21" ht="15" x14ac:dyDescent="0.25">
      <c r="A324" s="154"/>
      <c r="B324" s="154"/>
      <c r="C324" s="266"/>
      <c r="D324" s="267"/>
      <c r="E324" s="257"/>
      <c r="F324" s="268"/>
      <c r="G324" s="271" t="str">
        <f t="shared" si="8"/>
        <v/>
      </c>
      <c r="H324" s="269"/>
      <c r="I324" s="271" t="str">
        <f t="shared" si="9"/>
        <v/>
      </c>
      <c r="J324" s="270" t="s">
        <v>9</v>
      </c>
      <c r="K324" s="256" t="s">
        <v>194</v>
      </c>
      <c r="L324" s="98"/>
      <c r="M324" s="98"/>
      <c r="N324" s="98"/>
      <c r="O324" s="98"/>
      <c r="P324" s="96"/>
      <c r="Q324" s="96"/>
      <c r="R324" s="96"/>
      <c r="S324" s="96"/>
      <c r="T324" s="94"/>
      <c r="U324" s="94"/>
    </row>
    <row r="325" spans="1:21" ht="15" x14ac:dyDescent="0.25">
      <c r="A325" s="154"/>
      <c r="B325" s="154"/>
      <c r="C325" s="266"/>
      <c r="D325" s="267"/>
      <c r="E325" s="257"/>
      <c r="F325" s="268"/>
      <c r="G325" s="271" t="str">
        <f t="shared" si="8"/>
        <v/>
      </c>
      <c r="H325" s="269"/>
      <c r="I325" s="271" t="str">
        <f t="shared" si="9"/>
        <v/>
      </c>
      <c r="J325" s="270" t="s">
        <v>9</v>
      </c>
      <c r="K325" s="256" t="s">
        <v>194</v>
      </c>
      <c r="L325" s="98"/>
      <c r="M325" s="98"/>
      <c r="N325" s="98"/>
      <c r="O325" s="98"/>
      <c r="P325" s="96"/>
      <c r="Q325" s="96"/>
      <c r="R325" s="96"/>
      <c r="S325" s="96"/>
      <c r="T325" s="94"/>
      <c r="U325" s="94"/>
    </row>
    <row r="326" spans="1:21" ht="15" x14ac:dyDescent="0.25">
      <c r="A326" s="154"/>
      <c r="B326" s="154"/>
      <c r="C326" s="266"/>
      <c r="D326" s="267"/>
      <c r="E326" s="257"/>
      <c r="F326" s="268"/>
      <c r="G326" s="271" t="str">
        <f t="shared" si="8"/>
        <v/>
      </c>
      <c r="H326" s="269"/>
      <c r="I326" s="271" t="str">
        <f t="shared" si="9"/>
        <v/>
      </c>
      <c r="J326" s="270" t="s">
        <v>9</v>
      </c>
      <c r="K326" s="256" t="s">
        <v>194</v>
      </c>
      <c r="L326" s="98"/>
      <c r="M326" s="98"/>
      <c r="N326" s="98"/>
      <c r="O326" s="98"/>
      <c r="P326" s="96"/>
      <c r="Q326" s="96"/>
      <c r="R326" s="96"/>
      <c r="S326" s="96"/>
      <c r="T326" s="94"/>
      <c r="U326" s="94"/>
    </row>
    <row r="327" spans="1:21" ht="15" x14ac:dyDescent="0.25">
      <c r="A327" s="154"/>
      <c r="B327" s="154"/>
      <c r="C327" s="266"/>
      <c r="D327" s="267"/>
      <c r="E327" s="257"/>
      <c r="F327" s="268"/>
      <c r="G327" s="271" t="str">
        <f t="shared" si="8"/>
        <v/>
      </c>
      <c r="H327" s="269"/>
      <c r="I327" s="271" t="str">
        <f t="shared" si="9"/>
        <v/>
      </c>
      <c r="J327" s="270" t="s">
        <v>9</v>
      </c>
      <c r="K327" s="256" t="s">
        <v>194</v>
      </c>
      <c r="L327" s="98"/>
      <c r="M327" s="98"/>
      <c r="N327" s="98"/>
      <c r="O327" s="98"/>
      <c r="P327" s="96"/>
      <c r="Q327" s="96"/>
      <c r="R327" s="96"/>
      <c r="S327" s="96"/>
      <c r="T327" s="94"/>
      <c r="U327" s="94"/>
    </row>
    <row r="328" spans="1:21" ht="15" x14ac:dyDescent="0.25">
      <c r="A328" s="154"/>
      <c r="B328" s="154"/>
      <c r="C328" s="266"/>
      <c r="D328" s="267"/>
      <c r="E328" s="257"/>
      <c r="F328" s="268"/>
      <c r="G328" s="271" t="str">
        <f t="shared" si="8"/>
        <v/>
      </c>
      <c r="H328" s="269"/>
      <c r="I328" s="271" t="str">
        <f t="shared" si="9"/>
        <v/>
      </c>
      <c r="J328" s="270" t="s">
        <v>9</v>
      </c>
      <c r="K328" s="256" t="s">
        <v>194</v>
      </c>
      <c r="L328" s="98"/>
      <c r="M328" s="98"/>
      <c r="N328" s="98"/>
      <c r="O328" s="98"/>
      <c r="P328" s="96"/>
      <c r="Q328" s="96"/>
      <c r="R328" s="96"/>
      <c r="S328" s="96"/>
      <c r="T328" s="94"/>
      <c r="U328" s="94"/>
    </row>
    <row r="329" spans="1:21" ht="15" x14ac:dyDescent="0.25">
      <c r="A329" s="154"/>
      <c r="B329" s="154"/>
      <c r="C329" s="266"/>
      <c r="D329" s="267"/>
      <c r="E329" s="257"/>
      <c r="F329" s="268"/>
      <c r="G329" s="271" t="str">
        <f t="shared" si="8"/>
        <v/>
      </c>
      <c r="H329" s="269"/>
      <c r="I329" s="271" t="str">
        <f t="shared" si="9"/>
        <v/>
      </c>
      <c r="J329" s="270" t="s">
        <v>9</v>
      </c>
      <c r="K329" s="256" t="s">
        <v>194</v>
      </c>
      <c r="L329" s="98"/>
      <c r="M329" s="98"/>
      <c r="N329" s="98"/>
      <c r="O329" s="98"/>
      <c r="P329" s="96"/>
      <c r="Q329" s="96"/>
      <c r="R329" s="96"/>
      <c r="S329" s="96"/>
      <c r="T329" s="94"/>
      <c r="U329" s="94"/>
    </row>
    <row r="330" spans="1:21" ht="15" x14ac:dyDescent="0.25">
      <c r="A330" s="154"/>
      <c r="B330" s="154"/>
      <c r="C330" s="266"/>
      <c r="D330" s="267"/>
      <c r="E330" s="257"/>
      <c r="F330" s="268"/>
      <c r="G330" s="271" t="str">
        <f t="shared" si="8"/>
        <v/>
      </c>
      <c r="H330" s="269"/>
      <c r="I330" s="271" t="str">
        <f t="shared" si="9"/>
        <v/>
      </c>
      <c r="J330" s="270" t="s">
        <v>9</v>
      </c>
      <c r="K330" s="256" t="s">
        <v>194</v>
      </c>
      <c r="L330" s="98"/>
      <c r="M330" s="98"/>
      <c r="N330" s="98"/>
      <c r="O330" s="98"/>
      <c r="P330" s="96"/>
      <c r="Q330" s="96"/>
      <c r="R330" s="96"/>
      <c r="S330" s="96"/>
      <c r="T330" s="94"/>
      <c r="U330" s="94"/>
    </row>
    <row r="331" spans="1:21" ht="15" x14ac:dyDescent="0.25">
      <c r="A331" s="154"/>
      <c r="B331" s="154"/>
      <c r="C331" s="266"/>
      <c r="D331" s="267"/>
      <c r="E331" s="257"/>
      <c r="F331" s="268"/>
      <c r="G331" s="271" t="str">
        <f t="shared" si="8"/>
        <v/>
      </c>
      <c r="H331" s="269"/>
      <c r="I331" s="271" t="str">
        <f t="shared" si="9"/>
        <v/>
      </c>
      <c r="J331" s="270" t="s">
        <v>9</v>
      </c>
      <c r="K331" s="256" t="s">
        <v>194</v>
      </c>
      <c r="L331" s="98"/>
      <c r="M331" s="98"/>
      <c r="N331" s="98"/>
      <c r="O331" s="98"/>
      <c r="P331" s="96"/>
      <c r="Q331" s="96"/>
      <c r="R331" s="96"/>
      <c r="S331" s="96"/>
      <c r="T331" s="94"/>
      <c r="U331" s="94"/>
    </row>
    <row r="332" spans="1:21" ht="15" x14ac:dyDescent="0.25">
      <c r="A332" s="154"/>
      <c r="B332" s="154"/>
      <c r="C332" s="266"/>
      <c r="D332" s="267"/>
      <c r="E332" s="257"/>
      <c r="F332" s="268"/>
      <c r="G332" s="271" t="str">
        <f t="shared" si="8"/>
        <v/>
      </c>
      <c r="H332" s="269"/>
      <c r="I332" s="271" t="str">
        <f t="shared" si="9"/>
        <v/>
      </c>
      <c r="J332" s="270" t="s">
        <v>9</v>
      </c>
      <c r="K332" s="256" t="s">
        <v>194</v>
      </c>
      <c r="L332" s="98"/>
      <c r="M332" s="98"/>
      <c r="N332" s="98"/>
      <c r="O332" s="98"/>
      <c r="P332" s="96"/>
      <c r="Q332" s="96"/>
      <c r="R332" s="96"/>
      <c r="S332" s="96"/>
      <c r="T332" s="94"/>
      <c r="U332" s="94"/>
    </row>
    <row r="333" spans="1:21" ht="15" x14ac:dyDescent="0.25">
      <c r="A333" s="154"/>
      <c r="B333" s="154"/>
      <c r="C333" s="266"/>
      <c r="D333" s="267"/>
      <c r="E333" s="257"/>
      <c r="F333" s="268"/>
      <c r="G333" s="271" t="str">
        <f t="shared" ref="G333:G396" si="10">IF(F333/par_TS_brutto&lt;&gt;0,ROUND(F333/par_TS_brutto,4),"")</f>
        <v/>
      </c>
      <c r="H333" s="269"/>
      <c r="I333" s="271" t="str">
        <f t="shared" si="9"/>
        <v/>
      </c>
      <c r="J333" s="270" t="s">
        <v>9</v>
      </c>
      <c r="K333" s="256" t="s">
        <v>194</v>
      </c>
      <c r="L333" s="98"/>
      <c r="M333" s="98"/>
      <c r="N333" s="98"/>
      <c r="O333" s="98"/>
      <c r="P333" s="96"/>
      <c r="Q333" s="96"/>
      <c r="R333" s="96"/>
      <c r="S333" s="96"/>
      <c r="T333" s="94"/>
      <c r="U333" s="94"/>
    </row>
    <row r="334" spans="1:21" ht="15" x14ac:dyDescent="0.25">
      <c r="A334" s="154"/>
      <c r="B334" s="154"/>
      <c r="C334" s="266"/>
      <c r="D334" s="267"/>
      <c r="E334" s="257"/>
      <c r="F334" s="268"/>
      <c r="G334" s="271" t="str">
        <f t="shared" si="10"/>
        <v/>
      </c>
      <c r="H334" s="269"/>
      <c r="I334" s="271" t="str">
        <f t="shared" ref="I334:I397" si="11">IFERROR(ROUND(F334/H334,4),"")</f>
        <v/>
      </c>
      <c r="J334" s="270" t="s">
        <v>9</v>
      </c>
      <c r="K334" s="256" t="s">
        <v>194</v>
      </c>
      <c r="L334" s="98"/>
      <c r="M334" s="98"/>
      <c r="N334" s="98"/>
      <c r="O334" s="98"/>
      <c r="P334" s="96"/>
      <c r="Q334" s="96"/>
      <c r="R334" s="96"/>
      <c r="S334" s="96"/>
      <c r="T334" s="94"/>
      <c r="U334" s="94"/>
    </row>
    <row r="335" spans="1:21" ht="15" x14ac:dyDescent="0.25">
      <c r="A335" s="154"/>
      <c r="B335" s="154"/>
      <c r="C335" s="266"/>
      <c r="D335" s="267"/>
      <c r="E335" s="257"/>
      <c r="F335" s="268"/>
      <c r="G335" s="271" t="str">
        <f t="shared" si="10"/>
        <v/>
      </c>
      <c r="H335" s="269"/>
      <c r="I335" s="271" t="str">
        <f t="shared" si="11"/>
        <v/>
      </c>
      <c r="J335" s="270" t="s">
        <v>9</v>
      </c>
      <c r="K335" s="256" t="s">
        <v>194</v>
      </c>
      <c r="L335" s="98"/>
      <c r="M335" s="98"/>
      <c r="N335" s="98"/>
      <c r="O335" s="98"/>
      <c r="P335" s="96"/>
      <c r="Q335" s="96"/>
      <c r="R335" s="96"/>
      <c r="S335" s="96"/>
      <c r="T335" s="94"/>
      <c r="U335" s="94"/>
    </row>
    <row r="336" spans="1:21" ht="15" x14ac:dyDescent="0.25">
      <c r="A336" s="154"/>
      <c r="B336" s="154"/>
      <c r="C336" s="266"/>
      <c r="D336" s="267"/>
      <c r="E336" s="257"/>
      <c r="F336" s="268"/>
      <c r="G336" s="271" t="str">
        <f t="shared" si="10"/>
        <v/>
      </c>
      <c r="H336" s="269"/>
      <c r="I336" s="271" t="str">
        <f t="shared" si="11"/>
        <v/>
      </c>
      <c r="J336" s="270" t="s">
        <v>9</v>
      </c>
      <c r="K336" s="256" t="s">
        <v>194</v>
      </c>
      <c r="L336" s="98"/>
      <c r="M336" s="98"/>
      <c r="N336" s="98"/>
      <c r="O336" s="98"/>
      <c r="P336" s="96"/>
      <c r="Q336" s="96"/>
      <c r="R336" s="96"/>
      <c r="S336" s="96"/>
      <c r="T336" s="94"/>
      <c r="U336" s="94"/>
    </row>
    <row r="337" spans="1:21" ht="15" x14ac:dyDescent="0.25">
      <c r="A337" s="154"/>
      <c r="B337" s="154"/>
      <c r="C337" s="266"/>
      <c r="D337" s="267"/>
      <c r="E337" s="257"/>
      <c r="F337" s="268"/>
      <c r="G337" s="271" t="str">
        <f t="shared" si="10"/>
        <v/>
      </c>
      <c r="H337" s="269"/>
      <c r="I337" s="271" t="str">
        <f t="shared" si="11"/>
        <v/>
      </c>
      <c r="J337" s="270" t="s">
        <v>9</v>
      </c>
      <c r="K337" s="256" t="s">
        <v>194</v>
      </c>
      <c r="L337" s="98"/>
      <c r="M337" s="98"/>
      <c r="N337" s="98"/>
      <c r="O337" s="98"/>
      <c r="P337" s="96"/>
      <c r="Q337" s="96"/>
      <c r="R337" s="96"/>
      <c r="S337" s="96"/>
      <c r="T337" s="94"/>
      <c r="U337" s="94"/>
    </row>
    <row r="338" spans="1:21" ht="15" x14ac:dyDescent="0.25">
      <c r="A338" s="154"/>
      <c r="B338" s="154"/>
      <c r="C338" s="266"/>
      <c r="D338" s="267"/>
      <c r="E338" s="257"/>
      <c r="F338" s="268"/>
      <c r="G338" s="271" t="str">
        <f t="shared" si="10"/>
        <v/>
      </c>
      <c r="H338" s="269"/>
      <c r="I338" s="271" t="str">
        <f t="shared" si="11"/>
        <v/>
      </c>
      <c r="J338" s="270" t="s">
        <v>9</v>
      </c>
      <c r="K338" s="256" t="s">
        <v>194</v>
      </c>
      <c r="L338" s="98"/>
      <c r="M338" s="98"/>
      <c r="N338" s="98"/>
      <c r="O338" s="98"/>
      <c r="P338" s="96"/>
      <c r="Q338" s="96"/>
      <c r="R338" s="96"/>
      <c r="S338" s="96"/>
      <c r="T338" s="94"/>
      <c r="U338" s="94"/>
    </row>
    <row r="339" spans="1:21" ht="15" x14ac:dyDescent="0.25">
      <c r="A339" s="154"/>
      <c r="B339" s="154"/>
      <c r="C339" s="266"/>
      <c r="D339" s="267"/>
      <c r="E339" s="257"/>
      <c r="F339" s="268"/>
      <c r="G339" s="271" t="str">
        <f t="shared" si="10"/>
        <v/>
      </c>
      <c r="H339" s="269"/>
      <c r="I339" s="271" t="str">
        <f t="shared" si="11"/>
        <v/>
      </c>
      <c r="J339" s="270" t="s">
        <v>9</v>
      </c>
      <c r="K339" s="256" t="s">
        <v>194</v>
      </c>
      <c r="L339" s="98"/>
      <c r="M339" s="98"/>
      <c r="N339" s="98"/>
      <c r="O339" s="98"/>
      <c r="P339" s="96"/>
      <c r="Q339" s="96"/>
      <c r="R339" s="96"/>
      <c r="S339" s="96"/>
      <c r="T339" s="94"/>
      <c r="U339" s="94"/>
    </row>
    <row r="340" spans="1:21" ht="15" x14ac:dyDescent="0.25">
      <c r="A340" s="154"/>
      <c r="B340" s="154"/>
      <c r="C340" s="266"/>
      <c r="D340" s="267"/>
      <c r="E340" s="257"/>
      <c r="F340" s="268"/>
      <c r="G340" s="271" t="str">
        <f t="shared" si="10"/>
        <v/>
      </c>
      <c r="H340" s="269"/>
      <c r="I340" s="271" t="str">
        <f t="shared" si="11"/>
        <v/>
      </c>
      <c r="J340" s="270" t="s">
        <v>9</v>
      </c>
      <c r="K340" s="256" t="s">
        <v>194</v>
      </c>
      <c r="L340" s="98"/>
      <c r="M340" s="98"/>
      <c r="N340" s="98"/>
      <c r="O340" s="98"/>
      <c r="P340" s="96"/>
      <c r="Q340" s="96"/>
      <c r="R340" s="96"/>
      <c r="S340" s="96"/>
      <c r="T340" s="94"/>
      <c r="U340" s="94"/>
    </row>
    <row r="341" spans="1:21" ht="15" x14ac:dyDescent="0.25">
      <c r="A341" s="154"/>
      <c r="B341" s="154"/>
      <c r="C341" s="266"/>
      <c r="D341" s="267"/>
      <c r="E341" s="257"/>
      <c r="F341" s="268"/>
      <c r="G341" s="271" t="str">
        <f t="shared" si="10"/>
        <v/>
      </c>
      <c r="H341" s="269"/>
      <c r="I341" s="271" t="str">
        <f t="shared" si="11"/>
        <v/>
      </c>
      <c r="J341" s="270" t="s">
        <v>9</v>
      </c>
      <c r="K341" s="256" t="s">
        <v>194</v>
      </c>
      <c r="L341" s="98"/>
      <c r="M341" s="98"/>
      <c r="N341" s="98"/>
      <c r="O341" s="98"/>
      <c r="P341" s="96"/>
      <c r="Q341" s="96"/>
      <c r="R341" s="96"/>
      <c r="S341" s="96"/>
      <c r="T341" s="94"/>
      <c r="U341" s="94"/>
    </row>
    <row r="342" spans="1:21" ht="15" x14ac:dyDescent="0.25">
      <c r="A342" s="154"/>
      <c r="B342" s="154"/>
      <c r="C342" s="266"/>
      <c r="D342" s="267"/>
      <c r="E342" s="257"/>
      <c r="F342" s="268"/>
      <c r="G342" s="271" t="str">
        <f t="shared" si="10"/>
        <v/>
      </c>
      <c r="H342" s="269"/>
      <c r="I342" s="271" t="str">
        <f t="shared" si="11"/>
        <v/>
      </c>
      <c r="J342" s="270" t="s">
        <v>9</v>
      </c>
      <c r="K342" s="256" t="s">
        <v>194</v>
      </c>
      <c r="L342" s="98"/>
      <c r="M342" s="98"/>
      <c r="N342" s="98"/>
      <c r="O342" s="98"/>
      <c r="P342" s="96"/>
      <c r="Q342" s="96"/>
      <c r="R342" s="96"/>
      <c r="S342" s="96"/>
      <c r="T342" s="94"/>
      <c r="U342" s="94"/>
    </row>
    <row r="343" spans="1:21" ht="15" x14ac:dyDescent="0.25">
      <c r="A343" s="154"/>
      <c r="B343" s="154"/>
      <c r="C343" s="266"/>
      <c r="D343" s="267"/>
      <c r="E343" s="257"/>
      <c r="F343" s="268"/>
      <c r="G343" s="271" t="str">
        <f t="shared" si="10"/>
        <v/>
      </c>
      <c r="H343" s="269"/>
      <c r="I343" s="271" t="str">
        <f t="shared" si="11"/>
        <v/>
      </c>
      <c r="J343" s="270" t="s">
        <v>9</v>
      </c>
      <c r="K343" s="256" t="s">
        <v>194</v>
      </c>
      <c r="L343" s="98"/>
      <c r="M343" s="98"/>
      <c r="N343" s="98"/>
      <c r="O343" s="98"/>
      <c r="P343" s="96"/>
      <c r="Q343" s="96"/>
      <c r="R343" s="96"/>
      <c r="S343" s="96"/>
      <c r="T343" s="94"/>
      <c r="U343" s="94"/>
    </row>
    <row r="344" spans="1:21" ht="15" x14ac:dyDescent="0.25">
      <c r="A344" s="154"/>
      <c r="B344" s="154"/>
      <c r="C344" s="266"/>
      <c r="D344" s="267"/>
      <c r="E344" s="257"/>
      <c r="F344" s="268"/>
      <c r="G344" s="271" t="str">
        <f t="shared" si="10"/>
        <v/>
      </c>
      <c r="H344" s="269"/>
      <c r="I344" s="271" t="str">
        <f t="shared" si="11"/>
        <v/>
      </c>
      <c r="J344" s="270" t="s">
        <v>9</v>
      </c>
      <c r="K344" s="256" t="s">
        <v>194</v>
      </c>
      <c r="L344" s="98"/>
      <c r="M344" s="98"/>
      <c r="N344" s="98"/>
      <c r="O344" s="98"/>
      <c r="P344" s="96"/>
      <c r="Q344" s="96"/>
      <c r="R344" s="96"/>
      <c r="S344" s="96"/>
      <c r="T344" s="94"/>
      <c r="U344" s="94"/>
    </row>
    <row r="345" spans="1:21" ht="15" x14ac:dyDescent="0.25">
      <c r="A345" s="154"/>
      <c r="B345" s="154"/>
      <c r="C345" s="266"/>
      <c r="D345" s="267"/>
      <c r="E345" s="257"/>
      <c r="F345" s="268"/>
      <c r="G345" s="271" t="str">
        <f t="shared" si="10"/>
        <v/>
      </c>
      <c r="H345" s="269"/>
      <c r="I345" s="271" t="str">
        <f t="shared" si="11"/>
        <v/>
      </c>
      <c r="J345" s="270" t="s">
        <v>9</v>
      </c>
      <c r="K345" s="256" t="s">
        <v>194</v>
      </c>
      <c r="L345" s="98"/>
      <c r="M345" s="98"/>
      <c r="N345" s="98"/>
      <c r="O345" s="98"/>
      <c r="P345" s="96"/>
      <c r="Q345" s="96"/>
      <c r="R345" s="96"/>
      <c r="S345" s="96"/>
      <c r="T345" s="94"/>
      <c r="U345" s="94"/>
    </row>
    <row r="346" spans="1:21" ht="15" x14ac:dyDescent="0.25">
      <c r="A346" s="154"/>
      <c r="B346" s="154"/>
      <c r="C346" s="266"/>
      <c r="D346" s="267"/>
      <c r="E346" s="257"/>
      <c r="F346" s="268"/>
      <c r="G346" s="271" t="str">
        <f t="shared" si="10"/>
        <v/>
      </c>
      <c r="H346" s="269"/>
      <c r="I346" s="271" t="str">
        <f t="shared" si="11"/>
        <v/>
      </c>
      <c r="J346" s="270" t="s">
        <v>9</v>
      </c>
      <c r="K346" s="256" t="s">
        <v>194</v>
      </c>
      <c r="L346" s="98"/>
      <c r="M346" s="98"/>
      <c r="N346" s="98"/>
      <c r="O346" s="98"/>
      <c r="P346" s="96"/>
      <c r="Q346" s="96"/>
      <c r="R346" s="96"/>
      <c r="S346" s="96"/>
      <c r="T346" s="94"/>
      <c r="U346" s="94"/>
    </row>
    <row r="347" spans="1:21" ht="15" x14ac:dyDescent="0.25">
      <c r="A347" s="154"/>
      <c r="B347" s="154"/>
      <c r="C347" s="266"/>
      <c r="D347" s="267"/>
      <c r="E347" s="257"/>
      <c r="F347" s="268"/>
      <c r="G347" s="271" t="str">
        <f t="shared" si="10"/>
        <v/>
      </c>
      <c r="H347" s="269"/>
      <c r="I347" s="271" t="str">
        <f t="shared" si="11"/>
        <v/>
      </c>
      <c r="J347" s="270" t="s">
        <v>9</v>
      </c>
      <c r="K347" s="256" t="s">
        <v>194</v>
      </c>
      <c r="L347" s="98"/>
      <c r="M347" s="98"/>
      <c r="N347" s="98"/>
      <c r="O347" s="98"/>
      <c r="P347" s="96"/>
      <c r="Q347" s="96"/>
      <c r="R347" s="96"/>
      <c r="S347" s="96"/>
      <c r="T347" s="94"/>
      <c r="U347" s="94"/>
    </row>
    <row r="348" spans="1:21" ht="15" x14ac:dyDescent="0.25">
      <c r="A348" s="154"/>
      <c r="B348" s="154"/>
      <c r="C348" s="266"/>
      <c r="D348" s="267"/>
      <c r="E348" s="257"/>
      <c r="F348" s="268"/>
      <c r="G348" s="271" t="str">
        <f t="shared" si="10"/>
        <v/>
      </c>
      <c r="H348" s="269"/>
      <c r="I348" s="271" t="str">
        <f t="shared" si="11"/>
        <v/>
      </c>
      <c r="J348" s="270" t="s">
        <v>9</v>
      </c>
      <c r="K348" s="256" t="s">
        <v>194</v>
      </c>
      <c r="L348" s="98"/>
      <c r="M348" s="98"/>
      <c r="N348" s="98"/>
      <c r="O348" s="98"/>
      <c r="P348" s="96"/>
      <c r="Q348" s="96"/>
      <c r="R348" s="96"/>
      <c r="S348" s="96"/>
      <c r="T348" s="94"/>
      <c r="U348" s="94"/>
    </row>
    <row r="349" spans="1:21" ht="15" x14ac:dyDescent="0.25">
      <c r="A349" s="154"/>
      <c r="B349" s="154"/>
      <c r="C349" s="266"/>
      <c r="D349" s="267"/>
      <c r="E349" s="257"/>
      <c r="F349" s="268"/>
      <c r="G349" s="271" t="str">
        <f t="shared" si="10"/>
        <v/>
      </c>
      <c r="H349" s="269"/>
      <c r="I349" s="271" t="str">
        <f t="shared" si="11"/>
        <v/>
      </c>
      <c r="J349" s="270" t="s">
        <v>9</v>
      </c>
      <c r="K349" s="256" t="s">
        <v>194</v>
      </c>
      <c r="L349" s="98"/>
      <c r="M349" s="98"/>
      <c r="N349" s="98"/>
      <c r="O349" s="98"/>
      <c r="P349" s="96"/>
      <c r="Q349" s="96"/>
      <c r="R349" s="96"/>
      <c r="S349" s="96"/>
      <c r="T349" s="94"/>
      <c r="U349" s="94"/>
    </row>
    <row r="350" spans="1:21" ht="15" x14ac:dyDescent="0.25">
      <c r="A350" s="154"/>
      <c r="B350" s="154"/>
      <c r="C350" s="266"/>
      <c r="D350" s="267"/>
      <c r="E350" s="257"/>
      <c r="F350" s="268"/>
      <c r="G350" s="271" t="str">
        <f t="shared" si="10"/>
        <v/>
      </c>
      <c r="H350" s="269"/>
      <c r="I350" s="271" t="str">
        <f t="shared" si="11"/>
        <v/>
      </c>
      <c r="J350" s="270" t="s">
        <v>9</v>
      </c>
      <c r="K350" s="256" t="s">
        <v>194</v>
      </c>
      <c r="L350" s="98"/>
      <c r="M350" s="98"/>
      <c r="N350" s="98"/>
      <c r="O350" s="98"/>
      <c r="P350" s="96"/>
      <c r="Q350" s="96"/>
      <c r="R350" s="96"/>
      <c r="S350" s="96"/>
      <c r="T350" s="94"/>
      <c r="U350" s="94"/>
    </row>
    <row r="351" spans="1:21" ht="15" x14ac:dyDescent="0.25">
      <c r="A351" s="154"/>
      <c r="B351" s="154"/>
      <c r="C351" s="266"/>
      <c r="D351" s="267"/>
      <c r="E351" s="257"/>
      <c r="F351" s="268"/>
      <c r="G351" s="271" t="str">
        <f t="shared" si="10"/>
        <v/>
      </c>
      <c r="H351" s="269"/>
      <c r="I351" s="271" t="str">
        <f t="shared" si="11"/>
        <v/>
      </c>
      <c r="J351" s="270" t="s">
        <v>9</v>
      </c>
      <c r="K351" s="256" t="s">
        <v>194</v>
      </c>
      <c r="L351" s="98"/>
      <c r="M351" s="98"/>
      <c r="N351" s="98"/>
      <c r="O351" s="98"/>
      <c r="P351" s="96"/>
      <c r="Q351" s="96"/>
      <c r="R351" s="96"/>
      <c r="S351" s="96"/>
      <c r="T351" s="94"/>
      <c r="U351" s="94"/>
    </row>
    <row r="352" spans="1:21" ht="15" x14ac:dyDescent="0.25">
      <c r="A352" s="154"/>
      <c r="B352" s="154"/>
      <c r="C352" s="266"/>
      <c r="D352" s="267"/>
      <c r="E352" s="257"/>
      <c r="F352" s="268"/>
      <c r="G352" s="271" t="str">
        <f t="shared" si="10"/>
        <v/>
      </c>
      <c r="H352" s="269"/>
      <c r="I352" s="271" t="str">
        <f t="shared" si="11"/>
        <v/>
      </c>
      <c r="J352" s="270" t="s">
        <v>9</v>
      </c>
      <c r="K352" s="256" t="s">
        <v>194</v>
      </c>
      <c r="L352" s="98"/>
      <c r="M352" s="98"/>
      <c r="N352" s="98"/>
      <c r="O352" s="98"/>
      <c r="P352" s="96"/>
      <c r="Q352" s="96"/>
      <c r="R352" s="96"/>
      <c r="S352" s="96"/>
      <c r="T352" s="94"/>
      <c r="U352" s="94"/>
    </row>
    <row r="353" spans="1:21" ht="15" x14ac:dyDescent="0.25">
      <c r="A353" s="154"/>
      <c r="B353" s="154"/>
      <c r="C353" s="266"/>
      <c r="D353" s="267"/>
      <c r="E353" s="257"/>
      <c r="F353" s="268"/>
      <c r="G353" s="271" t="str">
        <f t="shared" si="10"/>
        <v/>
      </c>
      <c r="H353" s="269"/>
      <c r="I353" s="271" t="str">
        <f t="shared" si="11"/>
        <v/>
      </c>
      <c r="J353" s="270" t="s">
        <v>9</v>
      </c>
      <c r="K353" s="256" t="s">
        <v>194</v>
      </c>
      <c r="L353" s="98"/>
      <c r="M353" s="98"/>
      <c r="N353" s="98"/>
      <c r="O353" s="98"/>
      <c r="P353" s="96"/>
      <c r="Q353" s="96"/>
      <c r="R353" s="96"/>
      <c r="S353" s="96"/>
      <c r="T353" s="94"/>
      <c r="U353" s="94"/>
    </row>
    <row r="354" spans="1:21" ht="15" x14ac:dyDescent="0.25">
      <c r="A354" s="154"/>
      <c r="B354" s="154"/>
      <c r="C354" s="266"/>
      <c r="D354" s="267"/>
      <c r="E354" s="257"/>
      <c r="F354" s="268"/>
      <c r="G354" s="271" t="str">
        <f t="shared" si="10"/>
        <v/>
      </c>
      <c r="H354" s="269"/>
      <c r="I354" s="271" t="str">
        <f t="shared" si="11"/>
        <v/>
      </c>
      <c r="J354" s="270" t="s">
        <v>9</v>
      </c>
      <c r="K354" s="256" t="s">
        <v>194</v>
      </c>
      <c r="L354" s="98"/>
      <c r="M354" s="98"/>
      <c r="N354" s="98"/>
      <c r="O354" s="98"/>
      <c r="P354" s="96"/>
      <c r="Q354" s="96"/>
      <c r="R354" s="96"/>
      <c r="S354" s="96"/>
      <c r="T354" s="94"/>
      <c r="U354" s="94"/>
    </row>
    <row r="355" spans="1:21" ht="15" x14ac:dyDescent="0.25">
      <c r="A355" s="154"/>
      <c r="B355" s="154"/>
      <c r="C355" s="266"/>
      <c r="D355" s="267"/>
      <c r="E355" s="257"/>
      <c r="F355" s="268"/>
      <c r="G355" s="271" t="str">
        <f t="shared" si="10"/>
        <v/>
      </c>
      <c r="H355" s="269"/>
      <c r="I355" s="271" t="str">
        <f t="shared" si="11"/>
        <v/>
      </c>
      <c r="J355" s="270" t="s">
        <v>9</v>
      </c>
      <c r="K355" s="256" t="s">
        <v>194</v>
      </c>
      <c r="L355" s="98"/>
      <c r="M355" s="98"/>
      <c r="N355" s="98"/>
      <c r="O355" s="98"/>
      <c r="P355" s="96"/>
      <c r="Q355" s="96"/>
      <c r="R355" s="96"/>
      <c r="S355" s="96"/>
      <c r="T355" s="94"/>
      <c r="U355" s="94"/>
    </row>
    <row r="356" spans="1:21" ht="15" x14ac:dyDescent="0.25">
      <c r="A356" s="154"/>
      <c r="B356" s="154"/>
      <c r="C356" s="266"/>
      <c r="D356" s="267"/>
      <c r="E356" s="257"/>
      <c r="F356" s="268"/>
      <c r="G356" s="271" t="str">
        <f t="shared" si="10"/>
        <v/>
      </c>
      <c r="H356" s="269"/>
      <c r="I356" s="271" t="str">
        <f t="shared" si="11"/>
        <v/>
      </c>
      <c r="J356" s="270" t="s">
        <v>9</v>
      </c>
      <c r="K356" s="256" t="s">
        <v>194</v>
      </c>
      <c r="L356" s="98"/>
      <c r="M356" s="98"/>
      <c r="N356" s="98"/>
      <c r="O356" s="98"/>
      <c r="P356" s="96"/>
      <c r="Q356" s="96"/>
      <c r="R356" s="96"/>
      <c r="S356" s="96"/>
      <c r="T356" s="94"/>
      <c r="U356" s="94"/>
    </row>
    <row r="357" spans="1:21" ht="15" x14ac:dyDescent="0.25">
      <c r="A357" s="154"/>
      <c r="B357" s="154"/>
      <c r="C357" s="266"/>
      <c r="D357" s="267"/>
      <c r="E357" s="257"/>
      <c r="F357" s="268"/>
      <c r="G357" s="271" t="str">
        <f t="shared" si="10"/>
        <v/>
      </c>
      <c r="H357" s="269"/>
      <c r="I357" s="271" t="str">
        <f t="shared" si="11"/>
        <v/>
      </c>
      <c r="J357" s="270" t="s">
        <v>9</v>
      </c>
      <c r="K357" s="256" t="s">
        <v>194</v>
      </c>
      <c r="L357" s="98"/>
      <c r="M357" s="98"/>
      <c r="N357" s="98"/>
      <c r="O357" s="98"/>
      <c r="P357" s="96"/>
      <c r="Q357" s="96"/>
      <c r="R357" s="96"/>
      <c r="S357" s="96"/>
      <c r="T357" s="94"/>
      <c r="U357" s="94"/>
    </row>
    <row r="358" spans="1:21" ht="15" x14ac:dyDescent="0.25">
      <c r="A358" s="154"/>
      <c r="B358" s="154"/>
      <c r="C358" s="266"/>
      <c r="D358" s="267"/>
      <c r="E358" s="257"/>
      <c r="F358" s="268"/>
      <c r="G358" s="271" t="str">
        <f t="shared" si="10"/>
        <v/>
      </c>
      <c r="H358" s="269"/>
      <c r="I358" s="271" t="str">
        <f t="shared" si="11"/>
        <v/>
      </c>
      <c r="J358" s="270" t="s">
        <v>9</v>
      </c>
      <c r="K358" s="256" t="s">
        <v>194</v>
      </c>
      <c r="L358" s="98"/>
      <c r="M358" s="98"/>
      <c r="N358" s="98"/>
      <c r="O358" s="98"/>
      <c r="P358" s="96"/>
      <c r="Q358" s="96"/>
      <c r="R358" s="96"/>
      <c r="S358" s="96"/>
      <c r="T358" s="94"/>
      <c r="U358" s="94"/>
    </row>
    <row r="359" spans="1:21" ht="15" x14ac:dyDescent="0.25">
      <c r="A359" s="154"/>
      <c r="B359" s="154"/>
      <c r="C359" s="266"/>
      <c r="D359" s="267"/>
      <c r="E359" s="257"/>
      <c r="F359" s="268"/>
      <c r="G359" s="271" t="str">
        <f t="shared" si="10"/>
        <v/>
      </c>
      <c r="H359" s="269"/>
      <c r="I359" s="271" t="str">
        <f t="shared" si="11"/>
        <v/>
      </c>
      <c r="J359" s="270" t="s">
        <v>9</v>
      </c>
      <c r="K359" s="256" t="s">
        <v>194</v>
      </c>
      <c r="L359" s="98"/>
      <c r="M359" s="98"/>
      <c r="N359" s="98"/>
      <c r="O359" s="98"/>
      <c r="P359" s="96"/>
      <c r="Q359" s="96"/>
      <c r="R359" s="96"/>
      <c r="S359" s="96"/>
      <c r="T359" s="94"/>
      <c r="U359" s="94"/>
    </row>
    <row r="360" spans="1:21" ht="15" x14ac:dyDescent="0.25">
      <c r="A360" s="154"/>
      <c r="B360" s="154"/>
      <c r="C360" s="266"/>
      <c r="D360" s="267"/>
      <c r="E360" s="257"/>
      <c r="F360" s="268"/>
      <c r="G360" s="271" t="str">
        <f t="shared" si="10"/>
        <v/>
      </c>
      <c r="H360" s="269"/>
      <c r="I360" s="271" t="str">
        <f t="shared" si="11"/>
        <v/>
      </c>
      <c r="J360" s="270" t="s">
        <v>9</v>
      </c>
      <c r="K360" s="256" t="s">
        <v>194</v>
      </c>
      <c r="L360" s="98"/>
      <c r="M360" s="98"/>
      <c r="N360" s="98"/>
      <c r="O360" s="98"/>
      <c r="P360" s="96"/>
      <c r="Q360" s="96"/>
      <c r="R360" s="96"/>
      <c r="S360" s="96"/>
      <c r="T360" s="94"/>
      <c r="U360" s="94"/>
    </row>
    <row r="361" spans="1:21" ht="15" x14ac:dyDescent="0.25">
      <c r="A361" s="154"/>
      <c r="B361" s="154"/>
      <c r="C361" s="266"/>
      <c r="D361" s="267"/>
      <c r="E361" s="257"/>
      <c r="F361" s="268"/>
      <c r="G361" s="271" t="str">
        <f t="shared" si="10"/>
        <v/>
      </c>
      <c r="H361" s="269"/>
      <c r="I361" s="271" t="str">
        <f t="shared" si="11"/>
        <v/>
      </c>
      <c r="J361" s="270" t="s">
        <v>9</v>
      </c>
      <c r="K361" s="256" t="s">
        <v>194</v>
      </c>
      <c r="L361" s="155"/>
      <c r="M361" s="155"/>
      <c r="N361" s="155"/>
      <c r="O361" s="155"/>
      <c r="P361" s="96"/>
      <c r="Q361" s="96"/>
      <c r="R361" s="96"/>
      <c r="S361" s="96"/>
      <c r="T361" s="94"/>
      <c r="U361" s="94"/>
    </row>
    <row r="362" spans="1:21" ht="15" x14ac:dyDescent="0.25">
      <c r="A362" s="154"/>
      <c r="B362" s="154"/>
      <c r="C362" s="266"/>
      <c r="D362" s="267"/>
      <c r="E362" s="257"/>
      <c r="F362" s="268"/>
      <c r="G362" s="271" t="str">
        <f t="shared" si="10"/>
        <v/>
      </c>
      <c r="H362" s="269"/>
      <c r="I362" s="271" t="str">
        <f t="shared" si="11"/>
        <v/>
      </c>
      <c r="J362" s="270" t="s">
        <v>9</v>
      </c>
      <c r="K362" s="256" t="s">
        <v>194</v>
      </c>
      <c r="L362" s="100"/>
      <c r="M362" s="100"/>
      <c r="N362" s="100"/>
      <c r="O362" s="100"/>
      <c r="P362" s="96"/>
      <c r="Q362" s="96"/>
      <c r="R362" s="96"/>
      <c r="S362" s="96"/>
      <c r="T362" s="94"/>
      <c r="U362" s="94"/>
    </row>
    <row r="363" spans="1:21" ht="15" x14ac:dyDescent="0.25">
      <c r="A363" s="154"/>
      <c r="B363" s="154"/>
      <c r="C363" s="266"/>
      <c r="D363" s="267"/>
      <c r="E363" s="257"/>
      <c r="F363" s="268"/>
      <c r="G363" s="271" t="str">
        <f t="shared" si="10"/>
        <v/>
      </c>
      <c r="H363" s="269"/>
      <c r="I363" s="271" t="str">
        <f t="shared" si="11"/>
        <v/>
      </c>
      <c r="J363" s="270" t="s">
        <v>9</v>
      </c>
      <c r="K363" s="256" t="s">
        <v>194</v>
      </c>
      <c r="L363" s="100"/>
      <c r="M363" s="100"/>
      <c r="N363" s="100"/>
      <c r="O363" s="100"/>
      <c r="P363" s="96"/>
      <c r="Q363" s="96"/>
      <c r="R363" s="96"/>
      <c r="S363" s="96"/>
      <c r="T363" s="94"/>
      <c r="U363" s="94"/>
    </row>
    <row r="364" spans="1:21" ht="15" x14ac:dyDescent="0.25">
      <c r="A364" s="154"/>
      <c r="B364" s="154"/>
      <c r="C364" s="266"/>
      <c r="D364" s="267"/>
      <c r="E364" s="257"/>
      <c r="F364" s="268"/>
      <c r="G364" s="271" t="str">
        <f t="shared" si="10"/>
        <v/>
      </c>
      <c r="H364" s="269"/>
      <c r="I364" s="271" t="str">
        <f t="shared" si="11"/>
        <v/>
      </c>
      <c r="J364" s="270" t="s">
        <v>9</v>
      </c>
      <c r="K364" s="256" t="s">
        <v>194</v>
      </c>
      <c r="L364" s="155"/>
      <c r="M364" s="155"/>
      <c r="N364" s="155"/>
      <c r="O364" s="155"/>
      <c r="P364" s="96"/>
      <c r="Q364" s="96"/>
      <c r="R364" s="96"/>
      <c r="S364" s="96"/>
      <c r="T364" s="94"/>
      <c r="U364" s="94"/>
    </row>
    <row r="365" spans="1:21" ht="15" x14ac:dyDescent="0.25">
      <c r="A365" s="154"/>
      <c r="B365" s="154"/>
      <c r="C365" s="266"/>
      <c r="D365" s="267"/>
      <c r="E365" s="257"/>
      <c r="F365" s="268"/>
      <c r="G365" s="271" t="str">
        <f t="shared" si="10"/>
        <v/>
      </c>
      <c r="H365" s="269"/>
      <c r="I365" s="271" t="str">
        <f t="shared" si="11"/>
        <v/>
      </c>
      <c r="J365" s="270" t="s">
        <v>9</v>
      </c>
      <c r="K365" s="256" t="s">
        <v>194</v>
      </c>
      <c r="L365" s="100"/>
      <c r="M365" s="100"/>
      <c r="N365" s="100"/>
      <c r="O365" s="100"/>
      <c r="P365" s="96"/>
      <c r="Q365" s="96"/>
      <c r="R365" s="96"/>
      <c r="S365" s="96"/>
      <c r="T365" s="94"/>
      <c r="U365" s="94"/>
    </row>
    <row r="366" spans="1:21" ht="15" x14ac:dyDescent="0.25">
      <c r="A366" s="154"/>
      <c r="B366" s="154"/>
      <c r="C366" s="266"/>
      <c r="D366" s="267"/>
      <c r="E366" s="257"/>
      <c r="F366" s="268"/>
      <c r="G366" s="271" t="str">
        <f t="shared" si="10"/>
        <v/>
      </c>
      <c r="H366" s="269"/>
      <c r="I366" s="271" t="str">
        <f t="shared" si="11"/>
        <v/>
      </c>
      <c r="J366" s="270" t="s">
        <v>9</v>
      </c>
      <c r="K366" s="256" t="s">
        <v>194</v>
      </c>
      <c r="L366" s="100"/>
      <c r="M366" s="100"/>
      <c r="N366" s="100"/>
      <c r="O366" s="100"/>
      <c r="P366" s="96"/>
      <c r="Q366" s="96"/>
      <c r="R366" s="96"/>
      <c r="S366" s="96"/>
      <c r="T366" s="94"/>
      <c r="U366" s="94"/>
    </row>
    <row r="367" spans="1:21" ht="15" x14ac:dyDescent="0.25">
      <c r="A367" s="154"/>
      <c r="B367" s="154"/>
      <c r="C367" s="266"/>
      <c r="D367" s="267"/>
      <c r="E367" s="257"/>
      <c r="F367" s="268"/>
      <c r="G367" s="271" t="str">
        <f t="shared" si="10"/>
        <v/>
      </c>
      <c r="H367" s="269"/>
      <c r="I367" s="271" t="str">
        <f t="shared" si="11"/>
        <v/>
      </c>
      <c r="J367" s="270" t="s">
        <v>9</v>
      </c>
      <c r="K367" s="256" t="s">
        <v>194</v>
      </c>
      <c r="L367" s="155"/>
      <c r="M367" s="155"/>
      <c r="N367" s="155"/>
      <c r="O367" s="155"/>
      <c r="P367" s="96"/>
      <c r="Q367" s="96"/>
      <c r="R367" s="96"/>
      <c r="S367" s="96"/>
      <c r="T367" s="94"/>
      <c r="U367" s="94"/>
    </row>
    <row r="368" spans="1:21" ht="15" x14ac:dyDescent="0.25">
      <c r="A368" s="154"/>
      <c r="B368" s="154"/>
      <c r="C368" s="266"/>
      <c r="D368" s="267"/>
      <c r="E368" s="257"/>
      <c r="F368" s="268"/>
      <c r="G368" s="271" t="str">
        <f t="shared" si="10"/>
        <v/>
      </c>
      <c r="H368" s="269"/>
      <c r="I368" s="271" t="str">
        <f t="shared" si="11"/>
        <v/>
      </c>
      <c r="J368" s="270" t="s">
        <v>9</v>
      </c>
      <c r="K368" s="256" t="s">
        <v>194</v>
      </c>
      <c r="L368" s="100"/>
      <c r="M368" s="100"/>
      <c r="N368" s="100"/>
      <c r="O368" s="100"/>
      <c r="P368" s="96"/>
      <c r="Q368" s="96"/>
      <c r="R368" s="96"/>
      <c r="S368" s="96"/>
      <c r="T368" s="94"/>
      <c r="U368" s="94"/>
    </row>
    <row r="369" spans="1:21" ht="15" x14ac:dyDescent="0.25">
      <c r="A369" s="154"/>
      <c r="B369" s="154"/>
      <c r="C369" s="266"/>
      <c r="D369" s="267"/>
      <c r="E369" s="257"/>
      <c r="F369" s="268"/>
      <c r="G369" s="271" t="str">
        <f t="shared" si="10"/>
        <v/>
      </c>
      <c r="H369" s="269"/>
      <c r="I369" s="271" t="str">
        <f t="shared" si="11"/>
        <v/>
      </c>
      <c r="J369" s="270" t="s">
        <v>9</v>
      </c>
      <c r="K369" s="256" t="s">
        <v>194</v>
      </c>
      <c r="L369" s="100"/>
      <c r="M369" s="100"/>
      <c r="N369" s="100"/>
      <c r="O369" s="100"/>
      <c r="P369" s="96"/>
      <c r="Q369" s="96"/>
      <c r="R369" s="96"/>
      <c r="S369" s="96"/>
      <c r="T369" s="94"/>
      <c r="U369" s="94"/>
    </row>
    <row r="370" spans="1:21" ht="15" x14ac:dyDescent="0.25">
      <c r="A370" s="154"/>
      <c r="B370" s="154"/>
      <c r="C370" s="266"/>
      <c r="D370" s="267"/>
      <c r="E370" s="257"/>
      <c r="F370" s="268"/>
      <c r="G370" s="271" t="str">
        <f t="shared" si="10"/>
        <v/>
      </c>
      <c r="H370" s="269"/>
      <c r="I370" s="271" t="str">
        <f t="shared" si="11"/>
        <v/>
      </c>
      <c r="J370" s="270" t="s">
        <v>9</v>
      </c>
      <c r="K370" s="256" t="s">
        <v>194</v>
      </c>
      <c r="L370" s="155"/>
      <c r="M370" s="155"/>
      <c r="N370" s="155"/>
      <c r="O370" s="155"/>
      <c r="P370" s="96"/>
      <c r="Q370" s="96"/>
      <c r="R370" s="96"/>
      <c r="S370" s="96"/>
      <c r="T370" s="94"/>
      <c r="U370" s="94"/>
    </row>
    <row r="371" spans="1:21" ht="15" x14ac:dyDescent="0.25">
      <c r="A371" s="154"/>
      <c r="B371" s="154"/>
      <c r="C371" s="266"/>
      <c r="D371" s="267"/>
      <c r="E371" s="257"/>
      <c r="F371" s="268"/>
      <c r="G371" s="271" t="str">
        <f t="shared" si="10"/>
        <v/>
      </c>
      <c r="H371" s="269"/>
      <c r="I371" s="271" t="str">
        <f t="shared" si="11"/>
        <v/>
      </c>
      <c r="J371" s="270" t="s">
        <v>9</v>
      </c>
      <c r="K371" s="256" t="s">
        <v>194</v>
      </c>
      <c r="L371" s="100"/>
      <c r="M371" s="100"/>
      <c r="N371" s="100"/>
      <c r="O371" s="100"/>
      <c r="P371" s="96"/>
      <c r="Q371" s="96"/>
      <c r="R371" s="96"/>
      <c r="S371" s="96"/>
      <c r="T371" s="94"/>
      <c r="U371" s="94"/>
    </row>
    <row r="372" spans="1:21" ht="15" x14ac:dyDescent="0.25">
      <c r="A372" s="154"/>
      <c r="B372" s="154"/>
      <c r="C372" s="266"/>
      <c r="D372" s="267"/>
      <c r="E372" s="257"/>
      <c r="F372" s="268"/>
      <c r="G372" s="271" t="str">
        <f t="shared" si="10"/>
        <v/>
      </c>
      <c r="H372" s="269"/>
      <c r="I372" s="271" t="str">
        <f t="shared" si="11"/>
        <v/>
      </c>
      <c r="J372" s="270" t="s">
        <v>9</v>
      </c>
      <c r="K372" s="256" t="s">
        <v>194</v>
      </c>
      <c r="L372" s="100"/>
      <c r="M372" s="100"/>
      <c r="N372" s="100"/>
      <c r="O372" s="100"/>
      <c r="P372" s="96"/>
      <c r="Q372" s="96"/>
      <c r="R372" s="96"/>
      <c r="S372" s="96"/>
      <c r="T372" s="94"/>
      <c r="U372" s="94"/>
    </row>
    <row r="373" spans="1:21" ht="15" x14ac:dyDescent="0.25">
      <c r="A373" s="154"/>
      <c r="B373" s="154"/>
      <c r="C373" s="266"/>
      <c r="D373" s="267"/>
      <c r="E373" s="257"/>
      <c r="F373" s="268"/>
      <c r="G373" s="271" t="str">
        <f t="shared" si="10"/>
        <v/>
      </c>
      <c r="H373" s="269"/>
      <c r="I373" s="271" t="str">
        <f t="shared" si="11"/>
        <v/>
      </c>
      <c r="J373" s="270" t="s">
        <v>9</v>
      </c>
      <c r="K373" s="256" t="s">
        <v>194</v>
      </c>
      <c r="L373" s="154"/>
      <c r="M373" s="154"/>
      <c r="N373" s="154"/>
      <c r="O373" s="154"/>
      <c r="P373" s="96"/>
      <c r="Q373" s="96"/>
      <c r="R373" s="96"/>
      <c r="S373" s="96"/>
      <c r="T373" s="94"/>
      <c r="U373" s="94"/>
    </row>
    <row r="374" spans="1:21" ht="15" x14ac:dyDescent="0.25">
      <c r="A374" s="154"/>
      <c r="B374" s="154"/>
      <c r="C374" s="266"/>
      <c r="D374" s="267"/>
      <c r="E374" s="257"/>
      <c r="F374" s="268"/>
      <c r="G374" s="271" t="str">
        <f t="shared" si="10"/>
        <v/>
      </c>
      <c r="H374" s="269"/>
      <c r="I374" s="271" t="str">
        <f t="shared" si="11"/>
        <v/>
      </c>
      <c r="J374" s="270" t="s">
        <v>9</v>
      </c>
      <c r="K374" s="256" t="s">
        <v>194</v>
      </c>
      <c r="L374" s="98"/>
      <c r="M374" s="98"/>
      <c r="N374" s="98"/>
      <c r="O374" s="98"/>
      <c r="P374" s="96"/>
      <c r="Q374" s="96"/>
      <c r="R374" s="96"/>
      <c r="S374" s="96"/>
      <c r="T374" s="94"/>
      <c r="U374" s="94"/>
    </row>
    <row r="375" spans="1:21" ht="15" x14ac:dyDescent="0.25">
      <c r="A375" s="154"/>
      <c r="B375" s="154"/>
      <c r="C375" s="266"/>
      <c r="D375" s="267"/>
      <c r="E375" s="257"/>
      <c r="F375" s="268"/>
      <c r="G375" s="271" t="str">
        <f t="shared" si="10"/>
        <v/>
      </c>
      <c r="H375" s="269"/>
      <c r="I375" s="271" t="str">
        <f t="shared" si="11"/>
        <v/>
      </c>
      <c r="J375" s="270" t="s">
        <v>9</v>
      </c>
      <c r="K375" s="256" t="s">
        <v>194</v>
      </c>
      <c r="L375" s="98"/>
      <c r="M375" s="98"/>
      <c r="N375" s="98"/>
      <c r="O375" s="98"/>
      <c r="P375" s="96"/>
      <c r="Q375" s="96"/>
      <c r="R375" s="96"/>
      <c r="S375" s="96"/>
      <c r="T375" s="94"/>
      <c r="U375" s="94"/>
    </row>
    <row r="376" spans="1:21" ht="15" x14ac:dyDescent="0.25">
      <c r="A376" s="154"/>
      <c r="B376" s="154"/>
      <c r="C376" s="266"/>
      <c r="D376" s="267"/>
      <c r="E376" s="257"/>
      <c r="F376" s="268"/>
      <c r="G376" s="271" t="str">
        <f t="shared" si="10"/>
        <v/>
      </c>
      <c r="H376" s="269"/>
      <c r="I376" s="271" t="str">
        <f t="shared" si="11"/>
        <v/>
      </c>
      <c r="J376" s="270" t="s">
        <v>9</v>
      </c>
      <c r="K376" s="256" t="s">
        <v>194</v>
      </c>
      <c r="L376" s="154"/>
      <c r="M376" s="154"/>
      <c r="N376" s="154"/>
      <c r="O376" s="154"/>
      <c r="P376" s="96"/>
      <c r="Q376" s="96"/>
      <c r="R376" s="96"/>
      <c r="S376" s="96"/>
      <c r="T376" s="94"/>
      <c r="U376" s="94"/>
    </row>
    <row r="377" spans="1:21" ht="15" x14ac:dyDescent="0.25">
      <c r="A377" s="154"/>
      <c r="B377" s="154"/>
      <c r="C377" s="266"/>
      <c r="D377" s="267"/>
      <c r="E377" s="257"/>
      <c r="F377" s="268"/>
      <c r="G377" s="271" t="str">
        <f t="shared" si="10"/>
        <v/>
      </c>
      <c r="H377" s="269"/>
      <c r="I377" s="271" t="str">
        <f t="shared" si="11"/>
        <v/>
      </c>
      <c r="J377" s="270" t="s">
        <v>9</v>
      </c>
      <c r="K377" s="256" t="s">
        <v>194</v>
      </c>
      <c r="L377" s="98"/>
      <c r="M377" s="98"/>
      <c r="N377" s="98"/>
      <c r="O377" s="98"/>
      <c r="P377" s="96"/>
      <c r="Q377" s="96"/>
      <c r="R377" s="96"/>
      <c r="S377" s="96"/>
      <c r="T377" s="94"/>
      <c r="U377" s="94"/>
    </row>
    <row r="378" spans="1:21" ht="15" x14ac:dyDescent="0.25">
      <c r="A378" s="154"/>
      <c r="B378" s="154"/>
      <c r="C378" s="266"/>
      <c r="D378" s="267"/>
      <c r="E378" s="257"/>
      <c r="F378" s="268"/>
      <c r="G378" s="271" t="str">
        <f t="shared" si="10"/>
        <v/>
      </c>
      <c r="H378" s="269"/>
      <c r="I378" s="271" t="str">
        <f t="shared" si="11"/>
        <v/>
      </c>
      <c r="J378" s="270" t="s">
        <v>9</v>
      </c>
      <c r="K378" s="256" t="s">
        <v>194</v>
      </c>
      <c r="L378" s="98"/>
      <c r="M378" s="98"/>
      <c r="N378" s="98"/>
      <c r="O378" s="98"/>
      <c r="P378" s="96"/>
      <c r="Q378" s="96"/>
      <c r="R378" s="96"/>
      <c r="S378" s="96"/>
      <c r="T378" s="94"/>
      <c r="U378" s="94"/>
    </row>
    <row r="379" spans="1:21" ht="15" x14ac:dyDescent="0.25">
      <c r="A379" s="154"/>
      <c r="B379" s="154"/>
      <c r="C379" s="266"/>
      <c r="D379" s="267"/>
      <c r="E379" s="257"/>
      <c r="F379" s="268"/>
      <c r="G379" s="271" t="str">
        <f t="shared" si="10"/>
        <v/>
      </c>
      <c r="H379" s="269"/>
      <c r="I379" s="271" t="str">
        <f t="shared" si="11"/>
        <v/>
      </c>
      <c r="J379" s="270" t="s">
        <v>9</v>
      </c>
      <c r="K379" s="256" t="s">
        <v>194</v>
      </c>
      <c r="L379" s="154"/>
      <c r="M379" s="154"/>
      <c r="N379" s="154"/>
      <c r="O379" s="154"/>
      <c r="P379" s="96"/>
      <c r="Q379" s="96"/>
      <c r="R379" s="96"/>
      <c r="S379" s="96"/>
      <c r="T379" s="94"/>
      <c r="U379" s="94"/>
    </row>
    <row r="380" spans="1:21" ht="15" x14ac:dyDescent="0.25">
      <c r="A380" s="154"/>
      <c r="B380" s="154"/>
      <c r="C380" s="266"/>
      <c r="D380" s="267"/>
      <c r="E380" s="257"/>
      <c r="F380" s="268"/>
      <c r="G380" s="271" t="str">
        <f t="shared" si="10"/>
        <v/>
      </c>
      <c r="H380" s="269"/>
      <c r="I380" s="271" t="str">
        <f t="shared" si="11"/>
        <v/>
      </c>
      <c r="J380" s="270" t="s">
        <v>9</v>
      </c>
      <c r="K380" s="256" t="s">
        <v>194</v>
      </c>
      <c r="L380" s="98"/>
      <c r="M380" s="98"/>
      <c r="N380" s="98"/>
      <c r="O380" s="98"/>
      <c r="P380" s="96"/>
      <c r="Q380" s="96"/>
      <c r="R380" s="96"/>
      <c r="S380" s="96"/>
      <c r="T380" s="94"/>
      <c r="U380" s="94"/>
    </row>
    <row r="381" spans="1:21" ht="15" x14ac:dyDescent="0.25">
      <c r="A381" s="154"/>
      <c r="B381" s="154"/>
      <c r="C381" s="266"/>
      <c r="D381" s="267"/>
      <c r="E381" s="257"/>
      <c r="F381" s="268"/>
      <c r="G381" s="271" t="str">
        <f t="shared" si="10"/>
        <v/>
      </c>
      <c r="H381" s="269"/>
      <c r="I381" s="271" t="str">
        <f t="shared" si="11"/>
        <v/>
      </c>
      <c r="J381" s="270" t="s">
        <v>9</v>
      </c>
      <c r="K381" s="256" t="s">
        <v>194</v>
      </c>
      <c r="L381" s="98"/>
      <c r="M381" s="98"/>
      <c r="N381" s="98"/>
      <c r="O381" s="98"/>
      <c r="P381" s="96"/>
      <c r="Q381" s="96"/>
      <c r="R381" s="96"/>
      <c r="S381" s="96"/>
      <c r="T381" s="94"/>
      <c r="U381" s="94"/>
    </row>
    <row r="382" spans="1:21" ht="15" x14ac:dyDescent="0.25">
      <c r="A382" s="154"/>
      <c r="B382" s="154"/>
      <c r="C382" s="266"/>
      <c r="D382" s="267"/>
      <c r="E382" s="257"/>
      <c r="F382" s="268"/>
      <c r="G382" s="271" t="str">
        <f t="shared" si="10"/>
        <v/>
      </c>
      <c r="H382" s="269"/>
      <c r="I382" s="271" t="str">
        <f t="shared" si="11"/>
        <v/>
      </c>
      <c r="J382" s="270" t="s">
        <v>9</v>
      </c>
      <c r="K382" s="256" t="s">
        <v>194</v>
      </c>
      <c r="L382" s="154"/>
      <c r="M382" s="154"/>
      <c r="N382" s="154"/>
      <c r="O382" s="154"/>
      <c r="P382" s="96"/>
      <c r="Q382" s="96"/>
      <c r="R382" s="96"/>
      <c r="S382" s="96"/>
      <c r="T382" s="94"/>
      <c r="U382" s="94"/>
    </row>
    <row r="383" spans="1:21" ht="15" x14ac:dyDescent="0.25">
      <c r="A383" s="154"/>
      <c r="B383" s="154"/>
      <c r="C383" s="266"/>
      <c r="D383" s="267"/>
      <c r="E383" s="257"/>
      <c r="F383" s="268"/>
      <c r="G383" s="271" t="str">
        <f t="shared" si="10"/>
        <v/>
      </c>
      <c r="H383" s="269"/>
      <c r="I383" s="271" t="str">
        <f t="shared" si="11"/>
        <v/>
      </c>
      <c r="J383" s="270" t="s">
        <v>9</v>
      </c>
      <c r="K383" s="256" t="s">
        <v>194</v>
      </c>
      <c r="L383" s="98"/>
      <c r="M383" s="98"/>
      <c r="N383" s="98"/>
      <c r="O383" s="98"/>
      <c r="P383" s="96"/>
      <c r="Q383" s="96"/>
      <c r="R383" s="96"/>
      <c r="S383" s="96"/>
      <c r="T383" s="94"/>
      <c r="U383" s="94"/>
    </row>
    <row r="384" spans="1:21" ht="15" x14ac:dyDescent="0.25">
      <c r="A384" s="154"/>
      <c r="B384" s="154"/>
      <c r="C384" s="266"/>
      <c r="D384" s="267"/>
      <c r="E384" s="257"/>
      <c r="F384" s="268"/>
      <c r="G384" s="271" t="str">
        <f t="shared" si="10"/>
        <v/>
      </c>
      <c r="H384" s="269"/>
      <c r="I384" s="271" t="str">
        <f t="shared" si="11"/>
        <v/>
      </c>
      <c r="J384" s="270" t="s">
        <v>9</v>
      </c>
      <c r="K384" s="256" t="s">
        <v>194</v>
      </c>
      <c r="L384" s="98"/>
      <c r="M384" s="98"/>
      <c r="N384" s="98"/>
      <c r="O384" s="98"/>
      <c r="P384" s="96"/>
      <c r="Q384" s="96"/>
      <c r="R384" s="96"/>
      <c r="S384" s="96"/>
      <c r="T384" s="94"/>
      <c r="U384" s="94"/>
    </row>
    <row r="385" spans="1:21" ht="15" x14ac:dyDescent="0.25">
      <c r="A385" s="154"/>
      <c r="B385" s="154"/>
      <c r="C385" s="266"/>
      <c r="D385" s="267"/>
      <c r="E385" s="257"/>
      <c r="F385" s="268"/>
      <c r="G385" s="271" t="str">
        <f t="shared" si="10"/>
        <v/>
      </c>
      <c r="H385" s="269"/>
      <c r="I385" s="271" t="str">
        <f t="shared" si="11"/>
        <v/>
      </c>
      <c r="J385" s="270" t="s">
        <v>9</v>
      </c>
      <c r="K385" s="256" t="s">
        <v>194</v>
      </c>
      <c r="L385" s="154"/>
      <c r="M385" s="154"/>
      <c r="N385" s="154"/>
      <c r="O385" s="154"/>
      <c r="P385" s="96"/>
      <c r="Q385" s="96"/>
      <c r="R385" s="96"/>
      <c r="S385" s="96"/>
      <c r="T385" s="94"/>
      <c r="U385" s="94"/>
    </row>
    <row r="386" spans="1:21" ht="15" x14ac:dyDescent="0.25">
      <c r="A386" s="154"/>
      <c r="B386" s="154"/>
      <c r="C386" s="266"/>
      <c r="D386" s="267"/>
      <c r="E386" s="257"/>
      <c r="F386" s="268"/>
      <c r="G386" s="271" t="str">
        <f t="shared" si="10"/>
        <v/>
      </c>
      <c r="H386" s="269"/>
      <c r="I386" s="271" t="str">
        <f t="shared" si="11"/>
        <v/>
      </c>
      <c r="J386" s="270" t="s">
        <v>9</v>
      </c>
      <c r="K386" s="256" t="s">
        <v>194</v>
      </c>
      <c r="L386" s="98"/>
      <c r="M386" s="98"/>
      <c r="N386" s="98"/>
      <c r="O386" s="98"/>
      <c r="P386" s="96"/>
      <c r="Q386" s="96"/>
      <c r="R386" s="96"/>
      <c r="S386" s="96"/>
      <c r="T386" s="94"/>
      <c r="U386" s="94"/>
    </row>
    <row r="387" spans="1:21" ht="15" x14ac:dyDescent="0.25">
      <c r="A387" s="154"/>
      <c r="B387" s="154"/>
      <c r="C387" s="266"/>
      <c r="D387" s="267"/>
      <c r="E387" s="257"/>
      <c r="F387" s="268"/>
      <c r="G387" s="271" t="str">
        <f t="shared" si="10"/>
        <v/>
      </c>
      <c r="H387" s="269"/>
      <c r="I387" s="271" t="str">
        <f t="shared" si="11"/>
        <v/>
      </c>
      <c r="J387" s="270" t="s">
        <v>9</v>
      </c>
      <c r="K387" s="256" t="s">
        <v>194</v>
      </c>
      <c r="L387" s="98"/>
      <c r="M387" s="98"/>
      <c r="N387" s="98"/>
      <c r="O387" s="98"/>
      <c r="P387" s="96"/>
      <c r="Q387" s="96"/>
      <c r="R387" s="96"/>
      <c r="S387" s="96"/>
      <c r="T387" s="94"/>
      <c r="U387" s="94"/>
    </row>
    <row r="388" spans="1:21" ht="15" x14ac:dyDescent="0.25">
      <c r="A388" s="154"/>
      <c r="B388" s="154"/>
      <c r="C388" s="266"/>
      <c r="D388" s="267"/>
      <c r="E388" s="257"/>
      <c r="F388" s="268"/>
      <c r="G388" s="271" t="str">
        <f t="shared" si="10"/>
        <v/>
      </c>
      <c r="H388" s="269"/>
      <c r="I388" s="271" t="str">
        <f t="shared" si="11"/>
        <v/>
      </c>
      <c r="J388" s="270" t="s">
        <v>9</v>
      </c>
      <c r="K388" s="256" t="s">
        <v>194</v>
      </c>
      <c r="L388" s="154"/>
      <c r="M388" s="154"/>
      <c r="N388" s="154"/>
      <c r="O388" s="154"/>
      <c r="P388" s="96"/>
      <c r="Q388" s="96"/>
      <c r="R388" s="96"/>
      <c r="S388" s="96"/>
      <c r="T388" s="94"/>
      <c r="U388" s="94"/>
    </row>
    <row r="389" spans="1:21" ht="15" x14ac:dyDescent="0.25">
      <c r="A389" s="154"/>
      <c r="B389" s="154"/>
      <c r="C389" s="266"/>
      <c r="D389" s="267"/>
      <c r="E389" s="257"/>
      <c r="F389" s="268"/>
      <c r="G389" s="271" t="str">
        <f t="shared" si="10"/>
        <v/>
      </c>
      <c r="H389" s="269"/>
      <c r="I389" s="271" t="str">
        <f t="shared" si="11"/>
        <v/>
      </c>
      <c r="J389" s="270" t="s">
        <v>9</v>
      </c>
      <c r="K389" s="256" t="s">
        <v>194</v>
      </c>
      <c r="L389" s="154"/>
      <c r="M389" s="154"/>
      <c r="N389" s="154"/>
      <c r="O389" s="154"/>
      <c r="P389" s="96"/>
      <c r="Q389" s="96"/>
      <c r="R389" s="96"/>
      <c r="S389" s="96"/>
      <c r="T389" s="94"/>
      <c r="U389" s="94"/>
    </row>
    <row r="390" spans="1:21" ht="15" x14ac:dyDescent="0.25">
      <c r="A390" s="154"/>
      <c r="B390" s="154"/>
      <c r="C390" s="266"/>
      <c r="D390" s="267"/>
      <c r="E390" s="257"/>
      <c r="F390" s="268"/>
      <c r="G390" s="271" t="str">
        <f t="shared" si="10"/>
        <v/>
      </c>
      <c r="H390" s="269"/>
      <c r="I390" s="271" t="str">
        <f t="shared" si="11"/>
        <v/>
      </c>
      <c r="J390" s="270" t="s">
        <v>9</v>
      </c>
      <c r="K390" s="256" t="s">
        <v>194</v>
      </c>
      <c r="L390" s="154"/>
      <c r="M390" s="154"/>
      <c r="N390" s="154"/>
      <c r="O390" s="154"/>
      <c r="P390" s="96"/>
      <c r="Q390" s="96"/>
      <c r="R390" s="96"/>
      <c r="S390" s="96"/>
      <c r="T390" s="94"/>
      <c r="U390" s="94"/>
    </row>
    <row r="391" spans="1:21" ht="15" x14ac:dyDescent="0.25">
      <c r="A391" s="154"/>
      <c r="B391" s="154"/>
      <c r="C391" s="266"/>
      <c r="D391" s="267"/>
      <c r="E391" s="257"/>
      <c r="F391" s="268"/>
      <c r="G391" s="271" t="str">
        <f t="shared" si="10"/>
        <v/>
      </c>
      <c r="H391" s="269"/>
      <c r="I391" s="271" t="str">
        <f t="shared" si="11"/>
        <v/>
      </c>
      <c r="J391" s="270" t="s">
        <v>9</v>
      </c>
      <c r="K391" s="256" t="s">
        <v>194</v>
      </c>
      <c r="L391" s="154"/>
      <c r="M391" s="154"/>
      <c r="N391" s="154"/>
      <c r="O391" s="154"/>
      <c r="P391" s="96"/>
      <c r="Q391" s="96"/>
      <c r="R391" s="96"/>
      <c r="S391" s="96"/>
      <c r="T391" s="94"/>
      <c r="U391" s="94"/>
    </row>
    <row r="392" spans="1:21" ht="15" x14ac:dyDescent="0.25">
      <c r="A392" s="154"/>
      <c r="B392" s="154"/>
      <c r="C392" s="266"/>
      <c r="D392" s="267"/>
      <c r="E392" s="257"/>
      <c r="F392" s="268"/>
      <c r="G392" s="271" t="str">
        <f t="shared" si="10"/>
        <v/>
      </c>
      <c r="H392" s="269"/>
      <c r="I392" s="271" t="str">
        <f t="shared" si="11"/>
        <v/>
      </c>
      <c r="J392" s="270" t="s">
        <v>9</v>
      </c>
      <c r="K392" s="256" t="s">
        <v>194</v>
      </c>
      <c r="L392" s="98"/>
      <c r="M392" s="98"/>
      <c r="N392" s="98"/>
      <c r="O392" s="98"/>
      <c r="P392" s="96"/>
      <c r="Q392" s="96"/>
      <c r="R392" s="96"/>
      <c r="S392" s="96"/>
      <c r="T392" s="94"/>
      <c r="U392" s="94"/>
    </row>
    <row r="393" spans="1:21" ht="15" x14ac:dyDescent="0.25">
      <c r="A393" s="154"/>
      <c r="B393" s="154"/>
      <c r="C393" s="266"/>
      <c r="D393" s="267"/>
      <c r="E393" s="257"/>
      <c r="F393" s="268"/>
      <c r="G393" s="271" t="str">
        <f t="shared" si="10"/>
        <v/>
      </c>
      <c r="H393" s="269"/>
      <c r="I393" s="271" t="str">
        <f t="shared" si="11"/>
        <v/>
      </c>
      <c r="J393" s="270" t="s">
        <v>9</v>
      </c>
      <c r="K393" s="256" t="s">
        <v>194</v>
      </c>
      <c r="L393" s="98"/>
      <c r="M393" s="98"/>
      <c r="N393" s="98"/>
      <c r="O393" s="98"/>
      <c r="P393" s="96"/>
      <c r="Q393" s="96"/>
      <c r="R393" s="96"/>
      <c r="S393" s="96"/>
      <c r="T393" s="94"/>
      <c r="U393" s="94"/>
    </row>
    <row r="394" spans="1:21" ht="15" x14ac:dyDescent="0.25">
      <c r="A394" s="154"/>
      <c r="B394" s="154"/>
      <c r="C394" s="266"/>
      <c r="D394" s="267"/>
      <c r="E394" s="257"/>
      <c r="F394" s="268"/>
      <c r="G394" s="271" t="str">
        <f t="shared" si="10"/>
        <v/>
      </c>
      <c r="H394" s="269"/>
      <c r="I394" s="271" t="str">
        <f t="shared" si="11"/>
        <v/>
      </c>
      <c r="J394" s="270" t="s">
        <v>9</v>
      </c>
      <c r="K394" s="256" t="s">
        <v>194</v>
      </c>
      <c r="L394" s="98"/>
      <c r="M394" s="98"/>
      <c r="N394" s="98"/>
      <c r="O394" s="98"/>
      <c r="P394" s="96"/>
      <c r="Q394" s="96"/>
      <c r="R394" s="96"/>
      <c r="S394" s="96"/>
      <c r="T394" s="94"/>
      <c r="U394" s="94"/>
    </row>
    <row r="395" spans="1:21" ht="15" x14ac:dyDescent="0.25">
      <c r="A395" s="154"/>
      <c r="B395" s="154"/>
      <c r="C395" s="266"/>
      <c r="D395" s="267"/>
      <c r="E395" s="257"/>
      <c r="F395" s="268"/>
      <c r="G395" s="271" t="str">
        <f t="shared" si="10"/>
        <v/>
      </c>
      <c r="H395" s="269"/>
      <c r="I395" s="271" t="str">
        <f t="shared" si="11"/>
        <v/>
      </c>
      <c r="J395" s="270" t="s">
        <v>9</v>
      </c>
      <c r="K395" s="256" t="s">
        <v>194</v>
      </c>
      <c r="L395" s="98"/>
      <c r="M395" s="98"/>
      <c r="N395" s="98"/>
      <c r="O395" s="98"/>
      <c r="P395" s="96"/>
      <c r="Q395" s="96"/>
      <c r="R395" s="96"/>
      <c r="S395" s="96"/>
      <c r="T395" s="94"/>
      <c r="U395" s="94"/>
    </row>
    <row r="396" spans="1:21" ht="15" x14ac:dyDescent="0.25">
      <c r="A396" s="154"/>
      <c r="B396" s="154"/>
      <c r="C396" s="266"/>
      <c r="D396" s="267"/>
      <c r="E396" s="257"/>
      <c r="F396" s="268"/>
      <c r="G396" s="271" t="str">
        <f t="shared" si="10"/>
        <v/>
      </c>
      <c r="H396" s="269"/>
      <c r="I396" s="271" t="str">
        <f t="shared" si="11"/>
        <v/>
      </c>
      <c r="J396" s="270" t="s">
        <v>9</v>
      </c>
      <c r="K396" s="256" t="s">
        <v>194</v>
      </c>
      <c r="L396" s="98"/>
      <c r="M396" s="98"/>
      <c r="N396" s="98"/>
      <c r="O396" s="98"/>
      <c r="P396" s="96"/>
      <c r="Q396" s="96"/>
      <c r="R396" s="96"/>
      <c r="S396" s="96"/>
      <c r="T396" s="94"/>
      <c r="U396" s="94"/>
    </row>
    <row r="397" spans="1:21" ht="15" x14ac:dyDescent="0.25">
      <c r="A397" s="154"/>
      <c r="B397" s="154"/>
      <c r="C397" s="266"/>
      <c r="D397" s="267"/>
      <c r="E397" s="257"/>
      <c r="F397" s="268"/>
      <c r="G397" s="271" t="str">
        <f t="shared" ref="G397:G412" si="12">IF(F397/par_TS_brutto&lt;&gt;0,ROUND(F397/par_TS_brutto,4),"")</f>
        <v/>
      </c>
      <c r="H397" s="269"/>
      <c r="I397" s="271" t="str">
        <f t="shared" si="11"/>
        <v/>
      </c>
      <c r="J397" s="270" t="s">
        <v>9</v>
      </c>
      <c r="K397" s="256" t="s">
        <v>194</v>
      </c>
      <c r="L397" s="98"/>
      <c r="M397" s="98"/>
      <c r="N397" s="98"/>
      <c r="O397" s="98"/>
      <c r="P397" s="96"/>
      <c r="Q397" s="96"/>
      <c r="R397" s="96"/>
      <c r="S397" s="96"/>
      <c r="T397" s="94"/>
      <c r="U397" s="94"/>
    </row>
    <row r="398" spans="1:21" ht="15" x14ac:dyDescent="0.25">
      <c r="A398" s="154"/>
      <c r="B398" s="154"/>
      <c r="C398" s="266"/>
      <c r="D398" s="267"/>
      <c r="E398" s="257"/>
      <c r="F398" s="268"/>
      <c r="G398" s="271" t="str">
        <f t="shared" si="12"/>
        <v/>
      </c>
      <c r="H398" s="269"/>
      <c r="I398" s="271" t="str">
        <f t="shared" ref="I398:I412" si="13">IFERROR(ROUND(F398/H398,4),"")</f>
        <v/>
      </c>
      <c r="J398" s="270" t="s">
        <v>9</v>
      </c>
      <c r="K398" s="256" t="s">
        <v>194</v>
      </c>
      <c r="L398" s="98"/>
      <c r="M398" s="98"/>
      <c r="N398" s="98"/>
      <c r="O398" s="98"/>
      <c r="P398" s="96"/>
      <c r="Q398" s="96"/>
      <c r="R398" s="96"/>
      <c r="S398" s="96"/>
      <c r="T398" s="94"/>
      <c r="U398" s="94"/>
    </row>
    <row r="399" spans="1:21" ht="15" x14ac:dyDescent="0.25">
      <c r="A399" s="154"/>
      <c r="B399" s="154"/>
      <c r="C399" s="266"/>
      <c r="D399" s="267"/>
      <c r="E399" s="257"/>
      <c r="F399" s="268"/>
      <c r="G399" s="271" t="str">
        <f t="shared" si="12"/>
        <v/>
      </c>
      <c r="H399" s="269"/>
      <c r="I399" s="271" t="str">
        <f t="shared" si="13"/>
        <v/>
      </c>
      <c r="J399" s="270" t="s">
        <v>9</v>
      </c>
      <c r="K399" s="256" t="s">
        <v>194</v>
      </c>
      <c r="L399" s="98"/>
      <c r="M399" s="98"/>
      <c r="N399" s="98"/>
      <c r="O399" s="98"/>
      <c r="P399" s="96"/>
      <c r="Q399" s="96"/>
      <c r="R399" s="96"/>
      <c r="S399" s="96"/>
      <c r="T399" s="94"/>
      <c r="U399" s="94"/>
    </row>
    <row r="400" spans="1:21" ht="15" x14ac:dyDescent="0.25">
      <c r="A400" s="154"/>
      <c r="B400" s="154"/>
      <c r="C400" s="266"/>
      <c r="D400" s="267"/>
      <c r="E400" s="257"/>
      <c r="F400" s="268"/>
      <c r="G400" s="271" t="str">
        <f t="shared" si="12"/>
        <v/>
      </c>
      <c r="H400" s="269"/>
      <c r="I400" s="271" t="str">
        <f t="shared" si="13"/>
        <v/>
      </c>
      <c r="J400" s="270" t="s">
        <v>9</v>
      </c>
      <c r="K400" s="256" t="s">
        <v>194</v>
      </c>
      <c r="L400" s="98"/>
      <c r="M400" s="98"/>
      <c r="N400" s="98"/>
      <c r="O400" s="98"/>
      <c r="P400" s="96"/>
      <c r="Q400" s="96"/>
      <c r="R400" s="96"/>
      <c r="S400" s="96"/>
      <c r="T400" s="94"/>
      <c r="U400" s="94"/>
    </row>
    <row r="401" spans="1:21" ht="15" x14ac:dyDescent="0.25">
      <c r="A401" s="154"/>
      <c r="B401" s="154"/>
      <c r="C401" s="266"/>
      <c r="D401" s="267"/>
      <c r="E401" s="257"/>
      <c r="F401" s="268"/>
      <c r="G401" s="271" t="str">
        <f t="shared" si="12"/>
        <v/>
      </c>
      <c r="H401" s="269"/>
      <c r="I401" s="271" t="str">
        <f t="shared" si="13"/>
        <v/>
      </c>
      <c r="J401" s="270" t="s">
        <v>9</v>
      </c>
      <c r="K401" s="256" t="s">
        <v>194</v>
      </c>
      <c r="L401" s="98"/>
      <c r="M401" s="98"/>
      <c r="N401" s="98"/>
      <c r="O401" s="98"/>
      <c r="P401" s="96"/>
      <c r="Q401" s="96"/>
      <c r="R401" s="96"/>
      <c r="S401" s="96"/>
      <c r="T401" s="94"/>
      <c r="U401" s="94"/>
    </row>
    <row r="402" spans="1:21" ht="15" x14ac:dyDescent="0.25">
      <c r="A402" s="154"/>
      <c r="B402" s="154"/>
      <c r="C402" s="266"/>
      <c r="D402" s="267"/>
      <c r="E402" s="257"/>
      <c r="F402" s="268"/>
      <c r="G402" s="271" t="str">
        <f t="shared" si="12"/>
        <v/>
      </c>
      <c r="H402" s="269"/>
      <c r="I402" s="271" t="str">
        <f t="shared" si="13"/>
        <v/>
      </c>
      <c r="J402" s="270" t="s">
        <v>9</v>
      </c>
      <c r="K402" s="256" t="s">
        <v>194</v>
      </c>
      <c r="L402" s="98"/>
      <c r="M402" s="98"/>
      <c r="N402" s="98"/>
      <c r="O402" s="98"/>
      <c r="P402" s="96"/>
      <c r="Q402" s="96"/>
      <c r="R402" s="96"/>
      <c r="S402" s="96"/>
      <c r="T402" s="94"/>
      <c r="U402" s="94"/>
    </row>
    <row r="403" spans="1:21" ht="15" x14ac:dyDescent="0.25">
      <c r="A403" s="154"/>
      <c r="B403" s="154"/>
      <c r="C403" s="266"/>
      <c r="D403" s="267"/>
      <c r="E403" s="257"/>
      <c r="F403" s="268"/>
      <c r="G403" s="271" t="str">
        <f t="shared" si="12"/>
        <v/>
      </c>
      <c r="H403" s="269"/>
      <c r="I403" s="271" t="str">
        <f t="shared" si="13"/>
        <v/>
      </c>
      <c r="J403" s="270" t="s">
        <v>9</v>
      </c>
      <c r="K403" s="256" t="s">
        <v>194</v>
      </c>
      <c r="L403" s="98"/>
      <c r="M403" s="98"/>
      <c r="N403" s="98"/>
      <c r="O403" s="98"/>
      <c r="P403" s="96"/>
      <c r="Q403" s="96"/>
      <c r="R403" s="96"/>
      <c r="S403" s="96"/>
      <c r="T403" s="94"/>
      <c r="U403" s="94"/>
    </row>
    <row r="404" spans="1:21" ht="15" x14ac:dyDescent="0.25">
      <c r="A404" s="154"/>
      <c r="B404" s="154"/>
      <c r="C404" s="266"/>
      <c r="D404" s="267"/>
      <c r="E404" s="257"/>
      <c r="F404" s="268"/>
      <c r="G404" s="271" t="str">
        <f t="shared" si="12"/>
        <v/>
      </c>
      <c r="H404" s="269"/>
      <c r="I404" s="271" t="str">
        <f t="shared" si="13"/>
        <v/>
      </c>
      <c r="J404" s="270" t="s">
        <v>9</v>
      </c>
      <c r="K404" s="256" t="s">
        <v>194</v>
      </c>
      <c r="L404" s="98"/>
      <c r="M404" s="98"/>
      <c r="N404" s="98"/>
      <c r="O404" s="98"/>
      <c r="P404" s="96"/>
      <c r="Q404" s="96"/>
      <c r="R404" s="96"/>
      <c r="S404" s="96"/>
      <c r="T404" s="94"/>
      <c r="U404" s="94"/>
    </row>
    <row r="405" spans="1:21" ht="15" x14ac:dyDescent="0.25">
      <c r="A405" s="154"/>
      <c r="B405" s="154"/>
      <c r="C405" s="266"/>
      <c r="D405" s="267"/>
      <c r="E405" s="257"/>
      <c r="F405" s="268"/>
      <c r="G405" s="271" t="str">
        <f t="shared" si="12"/>
        <v/>
      </c>
      <c r="H405" s="269"/>
      <c r="I405" s="271" t="str">
        <f t="shared" si="13"/>
        <v/>
      </c>
      <c r="J405" s="270" t="s">
        <v>9</v>
      </c>
      <c r="K405" s="256" t="s">
        <v>194</v>
      </c>
      <c r="L405" s="98"/>
      <c r="M405" s="98"/>
      <c r="N405" s="98"/>
      <c r="O405" s="98"/>
      <c r="P405" s="96"/>
      <c r="Q405" s="96"/>
      <c r="R405" s="96"/>
      <c r="S405" s="96"/>
      <c r="T405" s="94"/>
      <c r="U405" s="94"/>
    </row>
    <row r="406" spans="1:21" ht="15" x14ac:dyDescent="0.25">
      <c r="A406" s="154"/>
      <c r="B406" s="154"/>
      <c r="C406" s="266"/>
      <c r="D406" s="267"/>
      <c r="E406" s="257"/>
      <c r="F406" s="268"/>
      <c r="G406" s="271" t="str">
        <f t="shared" si="12"/>
        <v/>
      </c>
      <c r="H406" s="269"/>
      <c r="I406" s="271" t="str">
        <f t="shared" si="13"/>
        <v/>
      </c>
      <c r="J406" s="270" t="s">
        <v>9</v>
      </c>
      <c r="K406" s="256" t="s">
        <v>194</v>
      </c>
      <c r="L406" s="98"/>
      <c r="M406" s="98"/>
      <c r="N406" s="98"/>
      <c r="O406" s="98"/>
      <c r="P406" s="96"/>
      <c r="Q406" s="96"/>
      <c r="R406" s="96"/>
      <c r="S406" s="96"/>
      <c r="T406" s="94"/>
      <c r="U406" s="94"/>
    </row>
    <row r="407" spans="1:21" ht="15" x14ac:dyDescent="0.25">
      <c r="A407" s="154"/>
      <c r="B407" s="154"/>
      <c r="C407" s="266"/>
      <c r="D407" s="267"/>
      <c r="E407" s="257"/>
      <c r="F407" s="268"/>
      <c r="G407" s="271" t="str">
        <f t="shared" si="12"/>
        <v/>
      </c>
      <c r="H407" s="269"/>
      <c r="I407" s="271" t="str">
        <f t="shared" si="13"/>
        <v/>
      </c>
      <c r="J407" s="270" t="s">
        <v>9</v>
      </c>
      <c r="K407" s="256" t="s">
        <v>194</v>
      </c>
      <c r="L407" s="98"/>
      <c r="M407" s="98"/>
      <c r="N407" s="98"/>
      <c r="O407" s="98"/>
      <c r="P407" s="96"/>
      <c r="Q407" s="96"/>
      <c r="R407" s="96"/>
      <c r="S407" s="96"/>
      <c r="T407" s="94"/>
      <c r="U407" s="94"/>
    </row>
    <row r="408" spans="1:21" ht="15" x14ac:dyDescent="0.25">
      <c r="A408" s="154"/>
      <c r="B408" s="154"/>
      <c r="C408" s="266"/>
      <c r="D408" s="267"/>
      <c r="E408" s="257"/>
      <c r="F408" s="268"/>
      <c r="G408" s="271" t="str">
        <f t="shared" si="12"/>
        <v/>
      </c>
      <c r="H408" s="269"/>
      <c r="I408" s="271" t="str">
        <f t="shared" si="13"/>
        <v/>
      </c>
      <c r="J408" s="270" t="s">
        <v>9</v>
      </c>
      <c r="K408" s="256" t="s">
        <v>194</v>
      </c>
      <c r="L408" s="98"/>
      <c r="M408" s="98"/>
      <c r="N408" s="98"/>
      <c r="O408" s="98"/>
      <c r="P408" s="96"/>
      <c r="Q408" s="96"/>
      <c r="R408" s="96"/>
      <c r="S408" s="96"/>
      <c r="T408" s="94"/>
      <c r="U408" s="94"/>
    </row>
    <row r="409" spans="1:21" ht="15" x14ac:dyDescent="0.25">
      <c r="A409" s="154"/>
      <c r="B409" s="154"/>
      <c r="C409" s="266"/>
      <c r="D409" s="267"/>
      <c r="E409" s="257"/>
      <c r="F409" s="268"/>
      <c r="G409" s="271" t="str">
        <f t="shared" si="12"/>
        <v/>
      </c>
      <c r="H409" s="269"/>
      <c r="I409" s="271" t="str">
        <f t="shared" si="13"/>
        <v/>
      </c>
      <c r="J409" s="270" t="s">
        <v>9</v>
      </c>
      <c r="K409" s="256" t="s">
        <v>194</v>
      </c>
      <c r="L409" s="98"/>
      <c r="M409" s="98"/>
      <c r="N409" s="98"/>
      <c r="O409" s="98"/>
      <c r="P409" s="96"/>
      <c r="Q409" s="96"/>
      <c r="R409" s="96"/>
      <c r="S409" s="96"/>
      <c r="T409" s="94"/>
      <c r="U409" s="94"/>
    </row>
    <row r="410" spans="1:21" ht="15" x14ac:dyDescent="0.25">
      <c r="A410" s="154"/>
      <c r="B410" s="154"/>
      <c r="C410" s="266"/>
      <c r="D410" s="267"/>
      <c r="E410" s="257"/>
      <c r="F410" s="268"/>
      <c r="G410" s="271" t="str">
        <f t="shared" si="12"/>
        <v/>
      </c>
      <c r="H410" s="269"/>
      <c r="I410" s="271" t="str">
        <f t="shared" si="13"/>
        <v/>
      </c>
      <c r="J410" s="270" t="s">
        <v>9</v>
      </c>
      <c r="K410" s="256" t="s">
        <v>194</v>
      </c>
      <c r="L410" s="98"/>
      <c r="M410" s="98"/>
      <c r="N410" s="98"/>
      <c r="O410" s="98"/>
      <c r="P410" s="96"/>
      <c r="Q410" s="96"/>
      <c r="R410" s="96"/>
      <c r="S410" s="96"/>
      <c r="T410" s="94"/>
      <c r="U410" s="94"/>
    </row>
    <row r="411" spans="1:21" ht="15" x14ac:dyDescent="0.25">
      <c r="A411" s="154"/>
      <c r="B411" s="154"/>
      <c r="C411" s="266"/>
      <c r="D411" s="267"/>
      <c r="E411" s="257"/>
      <c r="F411" s="268"/>
      <c r="G411" s="271" t="str">
        <f t="shared" si="12"/>
        <v/>
      </c>
      <c r="H411" s="269"/>
      <c r="I411" s="271" t="str">
        <f t="shared" si="13"/>
        <v/>
      </c>
      <c r="J411" s="270" t="s">
        <v>9</v>
      </c>
      <c r="K411" s="256" t="s">
        <v>194</v>
      </c>
      <c r="L411" s="154"/>
      <c r="M411" s="154"/>
      <c r="N411" s="154"/>
      <c r="O411" s="154"/>
      <c r="P411" s="96"/>
      <c r="Q411" s="96"/>
      <c r="R411" s="96"/>
      <c r="S411" s="96"/>
      <c r="T411" s="94"/>
      <c r="U411" s="94"/>
    </row>
    <row r="412" spans="1:21" ht="15" x14ac:dyDescent="0.25">
      <c r="A412" s="154"/>
      <c r="B412" s="154"/>
      <c r="C412" s="266"/>
      <c r="D412" s="267"/>
      <c r="E412" s="257"/>
      <c r="F412" s="268"/>
      <c r="G412" s="271" t="str">
        <f t="shared" si="12"/>
        <v/>
      </c>
      <c r="H412" s="269"/>
      <c r="I412" s="271" t="str">
        <f t="shared" si="13"/>
        <v/>
      </c>
      <c r="J412" s="270" t="s">
        <v>9</v>
      </c>
      <c r="K412" s="256" t="s">
        <v>194</v>
      </c>
      <c r="L412" s="98"/>
      <c r="M412" s="98"/>
      <c r="N412" s="98"/>
      <c r="O412" s="98"/>
      <c r="P412" s="96"/>
      <c r="Q412" s="96"/>
      <c r="R412" s="96"/>
      <c r="S412" s="96"/>
      <c r="T412" s="94"/>
      <c r="U412" s="94"/>
    </row>
    <row r="413" spans="1:21" ht="15" x14ac:dyDescent="0.25">
      <c r="A413" s="154"/>
      <c r="B413" s="154"/>
      <c r="C413" s="230"/>
      <c r="D413" s="230"/>
      <c r="E413" s="230"/>
      <c r="F413" s="230"/>
      <c r="G413" s="230"/>
      <c r="H413" s="230"/>
      <c r="I413" s="230"/>
      <c r="J413" s="230"/>
      <c r="K413" s="231"/>
      <c r="L413" s="154"/>
      <c r="M413" s="154"/>
      <c r="N413" s="154"/>
      <c r="O413" s="154"/>
      <c r="P413" s="96"/>
      <c r="Q413" s="96"/>
      <c r="R413" s="96"/>
      <c r="S413" s="96"/>
      <c r="T413" s="94"/>
      <c r="U413" s="94"/>
    </row>
    <row r="414" spans="1:21" ht="15" x14ac:dyDescent="0.25">
      <c r="A414" s="154"/>
      <c r="B414" s="154"/>
      <c r="C414" s="230"/>
      <c r="D414" s="230"/>
      <c r="E414" s="230"/>
      <c r="F414" s="230"/>
      <c r="G414" s="230"/>
      <c r="H414" s="230"/>
      <c r="I414" s="230"/>
      <c r="J414" s="230"/>
      <c r="K414" s="231"/>
      <c r="L414" s="154"/>
      <c r="M414" s="154"/>
      <c r="N414" s="154"/>
      <c r="O414" s="154"/>
      <c r="P414" s="96"/>
      <c r="Q414" s="96"/>
      <c r="R414" s="96"/>
      <c r="S414" s="96"/>
      <c r="T414" s="94"/>
      <c r="U414" s="94"/>
    </row>
    <row r="415" spans="1:21" ht="15" x14ac:dyDescent="0.25">
      <c r="A415" s="154"/>
      <c r="B415" s="154"/>
      <c r="C415" s="230"/>
      <c r="D415" s="230"/>
      <c r="E415" s="230"/>
      <c r="F415" s="230"/>
      <c r="G415" s="230"/>
      <c r="H415" s="230"/>
      <c r="I415" s="230"/>
      <c r="J415" s="230"/>
      <c r="K415" s="231"/>
      <c r="L415" s="154"/>
      <c r="M415" s="154"/>
      <c r="N415" s="154"/>
      <c r="O415" s="154"/>
      <c r="P415" s="96"/>
      <c r="Q415" s="96"/>
      <c r="R415" s="96"/>
      <c r="S415" s="96"/>
      <c r="T415" s="94"/>
      <c r="U415" s="94"/>
    </row>
    <row r="416" spans="1:21" ht="15" x14ac:dyDescent="0.25">
      <c r="A416" s="94"/>
      <c r="B416" s="94"/>
      <c r="C416" s="232"/>
      <c r="D416" s="232"/>
      <c r="E416" s="232"/>
      <c r="F416" s="232"/>
      <c r="G416" s="232"/>
      <c r="H416" s="232"/>
      <c r="I416" s="232"/>
      <c r="J416" s="232"/>
      <c r="K416" s="233"/>
      <c r="P416" s="94"/>
      <c r="Q416" s="94"/>
      <c r="R416" s="94"/>
      <c r="S416" s="94"/>
      <c r="T416" s="94"/>
      <c r="U416" s="94"/>
    </row>
  </sheetData>
  <sheetProtection algorithmName="SHA-512" hashValue="RZ89Zey6bnFboDRH0cKvmAROTN0/40JfOtLwVrsVye/UkS5Z7YU4rRADmWHidIkLiPV/iqbzdZX5XicIbDyGEw==" saltValue="yf2o76eQOOC/LcMGkDYm8A==" spinCount="100000" sheet="1" objects="1" scenarios="1"/>
  <mergeCells count="2">
    <mergeCell ref="M4:O4"/>
    <mergeCell ref="P4:R4"/>
  </mergeCells>
  <conditionalFormatting sqref="K13:K412">
    <cfRule type="expression" dxfId="32" priority="2">
      <formula>ISBLANK(K13)</formula>
    </cfRule>
  </conditionalFormatting>
  <conditionalFormatting sqref="K13:K412">
    <cfRule type="expression" dxfId="31" priority="1">
      <formula>M13="x"</formula>
    </cfRule>
  </conditionalFormatting>
  <dataValidations count="6">
    <dataValidation type="list" allowBlank="1" showInputMessage="1" showErrorMessage="1" errorTitle="Ja oder Nein" error="bitte Ja oder Nein eingeben / auswählen." sqref="J13:J412" xr:uid="{ADEFB636-00C2-486D-9BA8-09C5A22B7AE5}">
      <formula1>Auswahl_JaNein</formula1>
    </dataValidation>
    <dataValidation type="list" allowBlank="1" showInputMessage="1" showErrorMessage="1" errorTitle="Achtung" error="Bitte wählen Sie eine gültige Treibstoffart aus." sqref="E13:E412" xr:uid="{AF24731E-C48C-46E3-A92C-69CEB6DFF2CE}">
      <formula1>Auswahl_Treibstoffart</formula1>
    </dataValidation>
    <dataValidation type="date" allowBlank="1" showInputMessage="1" showErrorMessage="1" errorTitle="Datum ungültig" error="Sie können hier nur Rechnugnen eingeben, die im Förderzeitraum ausgestellt wurden." sqref="D13:D412" xr:uid="{9D7A062D-C0CA-4D4E-B504-4A3E8DEE9CD5}">
      <formula1>44927</formula1>
      <formula2>45107</formula2>
    </dataValidation>
    <dataValidation type="decimal" allowBlank="1" showInputMessage="1" showErrorMessage="1" errorTitle="Betrag" error="Bitte geben Sie einen Betrag (Zahl) ein." sqref="F13:F412" xr:uid="{C58D7E6B-4AEE-4FE8-B5BF-A0886D732156}">
      <formula1>-1000000000</formula1>
      <formula2>1000000000</formula2>
    </dataValidation>
    <dataValidation type="decimal" allowBlank="1" showInputMessage="1" showErrorMessage="1" errorTitle="Menge" error="Bitte geben Sie die Menge (Zahl) ein." sqref="H13:H412" xr:uid="{B6B9D31C-51EA-40FD-B7E7-A0C2DE572A75}">
      <formula1>-1000000000</formula1>
      <formula2>1000000000</formula2>
    </dataValidation>
    <dataValidation type="list" allowBlank="1" showInputMessage="1" showErrorMessage="1" errorTitle="Ja/Nein" error="Die Eintragung in der Zelle muss &quot;Ja&quot; oder &quot;Nein&quot; sein." sqref="K13:K412" xr:uid="{372B8752-77DA-43E8-93A0-DEF9002FA74D}">
      <formula1>IF(E13="Diesel",Diesel_Spez,IF(E13="Benzin",Benzin_Spez,Treibstoffspezifikation))</formula1>
    </dataValidation>
  </dataValidations>
  <pageMargins left="0.7" right="0.7" top="0.78740157499999996" bottom="0.78740157499999996" header="0.3" footer="0.3"/>
  <pageSetup paperSize="9" orientation="portrait" r:id="rId1"/>
  <ignoredErrors>
    <ignoredError sqref="M7:O8 P7:R7 P8:R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0E39B-3447-4CDC-B3CC-D006508170FD}">
  <sheetPr codeName="Tabelle9"/>
  <dimension ref="A1:U42"/>
  <sheetViews>
    <sheetView showGridLines="0" topLeftCell="D1" zoomScaleNormal="100" workbookViewId="0">
      <selection activeCell="P4" sqref="P4"/>
    </sheetView>
  </sheetViews>
  <sheetFormatPr baseColWidth="10" defaultColWidth="10.7109375" defaultRowHeight="15" x14ac:dyDescent="0.25"/>
  <cols>
    <col min="1" max="1" width="3.28515625" style="25" customWidth="1"/>
    <col min="2" max="2" width="57.42578125" style="25" customWidth="1"/>
    <col min="3" max="4" width="19.7109375" style="25" customWidth="1"/>
    <col min="5" max="5" width="1" style="25" customWidth="1"/>
    <col min="6" max="6" width="4.28515625" style="25" customWidth="1"/>
    <col min="7" max="16384" width="10.7109375" style="25"/>
  </cols>
  <sheetData>
    <row r="1" spans="1:21" ht="30" customHeight="1" x14ac:dyDescent="0.5">
      <c r="B1" s="27" t="s">
        <v>0</v>
      </c>
      <c r="C1" s="30"/>
      <c r="D1" s="30"/>
      <c r="E1" s="30"/>
      <c r="F1" s="30"/>
      <c r="G1" s="30"/>
      <c r="H1" s="30"/>
      <c r="I1" s="30"/>
      <c r="J1" s="30"/>
      <c r="K1" s="30"/>
      <c r="L1" s="30"/>
      <c r="M1" s="30"/>
      <c r="N1" s="30"/>
      <c r="O1" s="30"/>
      <c r="P1" s="30"/>
      <c r="Q1" s="30"/>
      <c r="R1" s="30"/>
      <c r="S1" s="30"/>
      <c r="T1" s="30"/>
    </row>
    <row r="2" spans="1:21" ht="18" x14ac:dyDescent="0.35">
      <c r="B2" s="203" t="s">
        <v>70</v>
      </c>
      <c r="C2" s="30"/>
      <c r="D2" s="30"/>
      <c r="E2" s="30"/>
      <c r="F2" s="30"/>
      <c r="G2" s="30"/>
      <c r="H2" s="30"/>
      <c r="I2" s="30"/>
      <c r="J2" s="30"/>
      <c r="K2" s="30"/>
      <c r="L2" s="30"/>
      <c r="M2" s="30"/>
      <c r="N2" s="30"/>
      <c r="O2" s="30"/>
      <c r="P2" s="30"/>
      <c r="Q2" s="30"/>
      <c r="R2" s="30"/>
      <c r="S2" s="30"/>
      <c r="T2" s="30"/>
    </row>
    <row r="3" spans="1:21" ht="16.5" x14ac:dyDescent="0.3">
      <c r="B3" s="30"/>
      <c r="C3" s="30"/>
      <c r="D3" s="30"/>
      <c r="E3" s="30"/>
      <c r="F3" s="30"/>
      <c r="G3" s="30"/>
      <c r="H3" s="30"/>
      <c r="I3" s="30"/>
      <c r="J3" s="78"/>
      <c r="K3" s="78"/>
      <c r="L3" s="30"/>
      <c r="M3" s="30"/>
      <c r="N3" s="30"/>
      <c r="O3" s="162" t="s">
        <v>1</v>
      </c>
      <c r="P3" s="440" t="s">
        <v>254</v>
      </c>
      <c r="Q3" s="30"/>
      <c r="R3" s="30"/>
      <c r="S3" s="30"/>
      <c r="T3" s="30"/>
    </row>
    <row r="4" spans="1:21" x14ac:dyDescent="0.25">
      <c r="A4" s="79"/>
      <c r="B4" s="167"/>
      <c r="C4" s="159" t="s">
        <v>35</v>
      </c>
      <c r="D4" s="159" t="s">
        <v>36</v>
      </c>
      <c r="E4" s="277"/>
      <c r="F4" s="98"/>
      <c r="G4" s="98"/>
      <c r="H4" s="98"/>
      <c r="I4" s="98"/>
      <c r="J4" s="98"/>
      <c r="K4" s="98"/>
      <c r="L4" s="98"/>
      <c r="M4" s="98"/>
      <c r="N4" s="98"/>
      <c r="O4" s="98"/>
      <c r="P4" s="98"/>
      <c r="Q4" s="98"/>
      <c r="R4" s="98"/>
      <c r="S4" s="98"/>
      <c r="T4" s="98"/>
      <c r="U4" s="94"/>
    </row>
    <row r="5" spans="1:21" x14ac:dyDescent="0.25">
      <c r="A5" s="79"/>
      <c r="B5" s="282" t="s">
        <v>71</v>
      </c>
      <c r="C5" s="167"/>
      <c r="D5" s="167"/>
      <c r="E5" s="96"/>
      <c r="F5" s="98"/>
      <c r="G5" s="98"/>
      <c r="H5" s="98"/>
      <c r="I5" s="98"/>
      <c r="J5" s="98"/>
      <c r="K5" s="98"/>
      <c r="L5" s="98"/>
      <c r="M5" s="98"/>
      <c r="N5" s="98"/>
      <c r="O5" s="98"/>
      <c r="P5" s="98"/>
      <c r="Q5" s="98"/>
      <c r="R5" s="98"/>
      <c r="S5" s="98"/>
      <c r="T5" s="98"/>
      <c r="U5" s="94"/>
    </row>
    <row r="6" spans="1:21" x14ac:dyDescent="0.25">
      <c r="A6" s="79"/>
      <c r="B6" s="167"/>
      <c r="C6" s="167"/>
      <c r="D6" s="167"/>
      <c r="E6" s="96"/>
      <c r="F6" s="98"/>
      <c r="G6" s="98"/>
      <c r="H6" s="98"/>
      <c r="I6" s="98"/>
      <c r="J6" s="98"/>
      <c r="K6" s="98"/>
      <c r="L6" s="98"/>
      <c r="M6" s="98"/>
      <c r="N6" s="98"/>
      <c r="O6" s="98"/>
      <c r="P6" s="98"/>
      <c r="Q6" s="98"/>
      <c r="R6" s="98"/>
      <c r="S6" s="98"/>
      <c r="T6" s="98"/>
      <c r="U6" s="94"/>
    </row>
    <row r="7" spans="1:21" ht="15.75" x14ac:dyDescent="0.3">
      <c r="A7" s="79"/>
      <c r="B7" s="167" t="s">
        <v>72</v>
      </c>
      <c r="C7" s="283">
        <f>'3 - Treibstoffe Rechnungen'!M8+'3 - Treibstoffe Rechnungen'!M9</f>
        <v>0</v>
      </c>
      <c r="D7" s="283">
        <f>'3 - Treibstoffe Rechnungen'!M6+'3 - Treibstoffe Rechnungen'!M7</f>
        <v>0</v>
      </c>
      <c r="E7" s="278"/>
      <c r="F7" s="33" t="s">
        <v>4</v>
      </c>
      <c r="G7" s="108" t="s">
        <v>73</v>
      </c>
      <c r="H7" s="135"/>
      <c r="I7" s="135"/>
      <c r="J7" s="135"/>
      <c r="K7" s="135"/>
      <c r="L7" s="109"/>
      <c r="M7" s="98"/>
      <c r="N7" s="98"/>
      <c r="O7" s="98"/>
      <c r="P7" s="98"/>
      <c r="Q7" s="98"/>
      <c r="R7" s="98"/>
      <c r="S7" s="98"/>
      <c r="T7" s="98"/>
      <c r="U7" s="94"/>
    </row>
    <row r="8" spans="1:21" ht="15.75" x14ac:dyDescent="0.3">
      <c r="A8" s="79"/>
      <c r="B8" s="167" t="s">
        <v>248</v>
      </c>
      <c r="C8" s="283">
        <f>'3 - Treibstoffe Rechnungen'!O8+'3 - Treibstoffe Rechnungen'!O9</f>
        <v>0</v>
      </c>
      <c r="D8" s="283">
        <f>'3 - Treibstoffe Rechnungen'!O6+'3 - Treibstoffe Rechnungen'!O7</f>
        <v>0</v>
      </c>
      <c r="E8" s="278"/>
      <c r="F8" s="161"/>
      <c r="G8" s="98"/>
      <c r="H8" s="98"/>
      <c r="I8" s="98"/>
      <c r="J8" s="98"/>
      <c r="K8" s="98"/>
      <c r="L8" s="98"/>
      <c r="M8" s="98"/>
      <c r="N8" s="98"/>
      <c r="O8" s="98"/>
      <c r="P8" s="98"/>
      <c r="Q8" s="98"/>
      <c r="R8" s="98"/>
      <c r="S8" s="98"/>
      <c r="T8" s="98"/>
      <c r="U8" s="94"/>
    </row>
    <row r="9" spans="1:21" ht="15.75" x14ac:dyDescent="0.3">
      <c r="A9" s="79"/>
      <c r="B9" s="167"/>
      <c r="C9" s="283"/>
      <c r="D9" s="283"/>
      <c r="E9" s="278"/>
      <c r="F9" s="161"/>
      <c r="G9" s="98"/>
      <c r="H9" s="98"/>
      <c r="I9" s="98"/>
      <c r="J9" s="98"/>
      <c r="K9" s="98"/>
      <c r="L9" s="98"/>
      <c r="M9" s="98"/>
      <c r="N9" s="98"/>
      <c r="O9" s="98"/>
      <c r="P9" s="98"/>
      <c r="Q9" s="98"/>
      <c r="R9" s="98"/>
      <c r="S9" s="98"/>
      <c r="T9" s="98"/>
      <c r="U9" s="94"/>
    </row>
    <row r="10" spans="1:21" ht="15.75" x14ac:dyDescent="0.3">
      <c r="A10" s="79"/>
      <c r="B10" s="282" t="s">
        <v>74</v>
      </c>
      <c r="C10" s="283"/>
      <c r="D10" s="283"/>
      <c r="E10" s="278"/>
      <c r="F10" s="161"/>
      <c r="G10" s="98"/>
      <c r="H10" s="98"/>
      <c r="I10" s="98"/>
      <c r="J10" s="98"/>
      <c r="K10" s="98"/>
      <c r="L10" s="98"/>
      <c r="M10" s="98"/>
      <c r="N10" s="98"/>
      <c r="O10" s="98"/>
      <c r="P10" s="98"/>
      <c r="Q10" s="98"/>
      <c r="R10" s="98"/>
      <c r="S10" s="98"/>
      <c r="T10" s="98"/>
      <c r="U10" s="94"/>
    </row>
    <row r="11" spans="1:21" ht="15.75" x14ac:dyDescent="0.3">
      <c r="A11" s="79"/>
      <c r="B11" s="167"/>
      <c r="C11" s="283"/>
      <c r="D11" s="283"/>
      <c r="E11" s="278"/>
      <c r="F11" s="161"/>
      <c r="G11" s="98"/>
      <c r="H11" s="98"/>
      <c r="I11" s="98"/>
      <c r="J11" s="98"/>
      <c r="K11" s="98"/>
      <c r="L11" s="98"/>
      <c r="M11" s="98"/>
      <c r="N11" s="98"/>
      <c r="O11" s="98"/>
      <c r="P11" s="98"/>
      <c r="Q11" s="98"/>
      <c r="R11" s="98"/>
      <c r="S11" s="98"/>
      <c r="T11" s="98"/>
      <c r="U11" s="94"/>
    </row>
    <row r="12" spans="1:21" ht="15.75" x14ac:dyDescent="0.3">
      <c r="A12" s="79"/>
      <c r="B12" s="167" t="s">
        <v>72</v>
      </c>
      <c r="C12" s="283">
        <f>'3 - Treibstoffe Rechnungen'!P8+'3 - Treibstoffe Rechnungen'!P9</f>
        <v>0</v>
      </c>
      <c r="D12" s="283">
        <f>'3 - Treibstoffe Rechnungen'!P6+'3 - Treibstoffe Rechnungen'!P7</f>
        <v>0</v>
      </c>
      <c r="E12" s="278"/>
      <c r="F12" s="33"/>
      <c r="G12" s="108"/>
      <c r="H12" s="135"/>
      <c r="I12" s="135"/>
      <c r="J12" s="135"/>
      <c r="K12" s="135"/>
      <c r="L12" s="109"/>
      <c r="M12" s="98"/>
      <c r="N12" s="98"/>
      <c r="O12" s="98"/>
      <c r="P12" s="98"/>
      <c r="Q12" s="98"/>
      <c r="R12" s="98"/>
      <c r="S12" s="98"/>
      <c r="T12" s="98"/>
      <c r="U12" s="94"/>
    </row>
    <row r="13" spans="1:21" ht="15.75" x14ac:dyDescent="0.3">
      <c r="A13" s="79"/>
      <c r="B13" s="167" t="s">
        <v>249</v>
      </c>
      <c r="C13" s="283">
        <f>'3 - Treibstoffe Rechnungen'!Q8+'3 - Treibstoffe Rechnungen'!Q9</f>
        <v>0</v>
      </c>
      <c r="D13" s="283">
        <f>'3 - Treibstoffe Rechnungen'!Q6+'3 - Treibstoffe Rechnungen'!Q7</f>
        <v>0</v>
      </c>
      <c r="E13" s="278"/>
      <c r="F13" s="161"/>
      <c r="G13" s="98"/>
      <c r="H13" s="98"/>
      <c r="I13" s="98"/>
      <c r="J13" s="98"/>
      <c r="K13" s="98"/>
      <c r="L13" s="98"/>
      <c r="M13" s="98"/>
      <c r="N13" s="98"/>
      <c r="O13" s="98"/>
      <c r="P13" s="98"/>
      <c r="Q13" s="98"/>
      <c r="R13" s="98"/>
      <c r="S13" s="98"/>
      <c r="T13" s="98"/>
      <c r="U13" s="94"/>
    </row>
    <row r="14" spans="1:21" ht="15.75" x14ac:dyDescent="0.3">
      <c r="A14" s="79"/>
      <c r="B14" s="167"/>
      <c r="C14" s="283"/>
      <c r="D14" s="283"/>
      <c r="E14" s="278"/>
      <c r="F14" s="161"/>
      <c r="G14" s="98"/>
      <c r="H14" s="98"/>
      <c r="I14" s="98"/>
      <c r="J14" s="98"/>
      <c r="K14" s="98"/>
      <c r="L14" s="98"/>
      <c r="M14" s="98"/>
      <c r="N14" s="98"/>
      <c r="O14" s="98"/>
      <c r="P14" s="98"/>
      <c r="Q14" s="98"/>
      <c r="R14" s="98"/>
      <c r="S14" s="98"/>
      <c r="T14" s="98"/>
      <c r="U14" s="94"/>
    </row>
    <row r="15" spans="1:21" ht="15.75" x14ac:dyDescent="0.3">
      <c r="A15" s="79"/>
      <c r="B15" s="167" t="s">
        <v>75</v>
      </c>
      <c r="C15" s="283">
        <f>C7+C12</f>
        <v>0</v>
      </c>
      <c r="D15" s="283">
        <f>D7+D12</f>
        <v>0</v>
      </c>
      <c r="E15" s="278"/>
      <c r="F15" s="161"/>
      <c r="G15" s="98"/>
      <c r="H15" s="98"/>
      <c r="I15" s="98"/>
      <c r="J15" s="98"/>
      <c r="K15" s="98"/>
      <c r="L15" s="98"/>
      <c r="M15" s="98"/>
      <c r="N15" s="98"/>
      <c r="O15" s="98"/>
      <c r="P15" s="98"/>
      <c r="Q15" s="98"/>
      <c r="R15" s="98"/>
      <c r="S15" s="98"/>
      <c r="T15" s="98"/>
      <c r="U15" s="94"/>
    </row>
    <row r="16" spans="1:21" ht="15.75" x14ac:dyDescent="0.3">
      <c r="A16" s="79"/>
      <c r="B16" s="167" t="s">
        <v>76</v>
      </c>
      <c r="C16" s="283">
        <f>C8+C13</f>
        <v>0</v>
      </c>
      <c r="D16" s="283">
        <f>D8+D13</f>
        <v>0</v>
      </c>
      <c r="E16" s="278"/>
      <c r="F16" s="161"/>
      <c r="G16" s="98"/>
      <c r="H16" s="98"/>
      <c r="I16" s="98"/>
      <c r="J16" s="98"/>
      <c r="K16" s="98"/>
      <c r="L16" s="98"/>
      <c r="M16" s="98"/>
      <c r="N16" s="98"/>
      <c r="O16" s="98"/>
      <c r="P16" s="98"/>
      <c r="Q16" s="98"/>
      <c r="R16" s="98"/>
      <c r="S16" s="98"/>
      <c r="T16" s="98"/>
      <c r="U16" s="94"/>
    </row>
    <row r="17" spans="1:21" ht="15.75" x14ac:dyDescent="0.3">
      <c r="A17" s="79"/>
      <c r="B17" s="167"/>
      <c r="C17" s="283"/>
      <c r="D17" s="283"/>
      <c r="E17" s="278"/>
      <c r="F17" s="161"/>
      <c r="G17" s="98"/>
      <c r="H17" s="98"/>
      <c r="I17" s="98"/>
      <c r="J17" s="98"/>
      <c r="K17" s="98"/>
      <c r="L17" s="98"/>
      <c r="M17" s="98"/>
      <c r="N17" s="98"/>
      <c r="O17" s="98"/>
      <c r="P17" s="98"/>
      <c r="Q17" s="98"/>
      <c r="R17" s="98"/>
      <c r="S17" s="98"/>
      <c r="T17" s="98"/>
      <c r="U17" s="94"/>
    </row>
    <row r="18" spans="1:21" ht="15.75" x14ac:dyDescent="0.3">
      <c r="A18" s="79"/>
      <c r="B18" s="167" t="s">
        <v>77</v>
      </c>
      <c r="C18" s="283">
        <f>IFERROR(C16/C15,0)</f>
        <v>0</v>
      </c>
      <c r="D18" s="283">
        <f>IFERROR(D16/D15,0)</f>
        <v>0</v>
      </c>
      <c r="E18" s="278"/>
      <c r="F18" s="33" t="s">
        <v>4</v>
      </c>
      <c r="G18" s="108" t="s">
        <v>78</v>
      </c>
      <c r="H18" s="135"/>
      <c r="I18" s="135"/>
      <c r="J18" s="135"/>
      <c r="K18" s="135"/>
      <c r="L18" s="109"/>
      <c r="M18" s="109"/>
      <c r="N18" s="98"/>
      <c r="O18" s="98"/>
      <c r="P18" s="98"/>
      <c r="Q18" s="98"/>
      <c r="R18" s="98"/>
      <c r="S18" s="98"/>
      <c r="T18" s="98"/>
      <c r="U18" s="94"/>
    </row>
    <row r="19" spans="1:21" ht="15.75" hidden="1" x14ac:dyDescent="0.3">
      <c r="A19" s="79"/>
      <c r="B19" s="167"/>
      <c r="C19" s="283"/>
      <c r="D19" s="283"/>
      <c r="E19" s="278"/>
      <c r="F19" s="33"/>
      <c r="G19" s="108"/>
      <c r="H19" s="135"/>
      <c r="I19" s="135"/>
      <c r="J19" s="135"/>
      <c r="K19" s="98"/>
      <c r="L19" s="98"/>
      <c r="M19" s="98"/>
      <c r="N19" s="98"/>
      <c r="O19" s="98"/>
      <c r="P19" s="98"/>
      <c r="Q19" s="98"/>
      <c r="R19" s="98"/>
      <c r="S19" s="98"/>
      <c r="T19" s="98"/>
      <c r="U19" s="94"/>
    </row>
    <row r="20" spans="1:21" ht="15.75" hidden="1" x14ac:dyDescent="0.3">
      <c r="A20" s="79"/>
      <c r="B20" s="283" t="s">
        <v>220</v>
      </c>
      <c r="C20" s="283">
        <f>IFERROR((('3 - Treibstoffe Rechnungen'!O8/'3 - Treibstoffe Rechnungen'!M8))-(par_TS_MöstB*1.2),0)</f>
        <v>0</v>
      </c>
      <c r="D20" s="283">
        <f>IFERROR((('3 - Treibstoffe Rechnungen'!O6/'3 - Treibstoffe Rechnungen'!M6))-(par_TS_MöstD*1.2),0)</f>
        <v>0</v>
      </c>
      <c r="E20" s="278"/>
      <c r="F20" s="33" t="s">
        <v>4</v>
      </c>
      <c r="G20" s="108" t="s">
        <v>219</v>
      </c>
      <c r="H20" s="135"/>
      <c r="I20" s="135"/>
      <c r="J20" s="135"/>
      <c r="K20" s="98"/>
      <c r="L20" s="98"/>
      <c r="M20" s="98"/>
      <c r="N20" s="98"/>
      <c r="O20" s="98"/>
      <c r="P20" s="98"/>
      <c r="Q20" s="98"/>
      <c r="R20" s="98"/>
      <c r="S20" s="98"/>
      <c r="T20" s="98"/>
      <c r="U20" s="94"/>
    </row>
    <row r="21" spans="1:21" ht="15.75" hidden="1" x14ac:dyDescent="0.3">
      <c r="A21" s="79"/>
      <c r="B21" s="283" t="s">
        <v>221</v>
      </c>
      <c r="C21" s="283">
        <f>IFERROR((('3 - Treibstoffe Rechnungen'!R8/'3 - Treibstoffe Rechnungen'!P8)/1.2)-par_TS_MöstB,0)</f>
        <v>0</v>
      </c>
      <c r="D21" s="283">
        <f>IFERROR((('3 - Treibstoffe Rechnungen'!R6/'3 - Treibstoffe Rechnungen'!P6)/1.2)-par_TS_MöstD,0)</f>
        <v>0</v>
      </c>
      <c r="E21" s="278"/>
      <c r="F21" s="33" t="s">
        <v>4</v>
      </c>
      <c r="G21" s="108" t="s">
        <v>218</v>
      </c>
      <c r="H21" s="135"/>
      <c r="I21" s="135"/>
      <c r="J21" s="135"/>
      <c r="K21" s="98"/>
      <c r="L21" s="98"/>
      <c r="M21" s="98"/>
      <c r="N21" s="98"/>
      <c r="O21" s="98"/>
      <c r="P21" s="98"/>
      <c r="Q21" s="98"/>
      <c r="R21" s="98"/>
      <c r="S21" s="98"/>
      <c r="T21" s="98"/>
      <c r="U21" s="94"/>
    </row>
    <row r="22" spans="1:21" hidden="1" x14ac:dyDescent="0.25">
      <c r="A22" s="79"/>
      <c r="B22" s="283" t="s">
        <v>222</v>
      </c>
      <c r="C22" s="283">
        <f>IFERROR((('3 - Treibstoffe Rechnungen'!O9/'3 - Treibstoffe Rechnungen'!M9))-(par_TS_MöstB_E0*1.2),0)</f>
        <v>0</v>
      </c>
      <c r="D22" s="283">
        <f>IFERROR((('3 - Treibstoffe Rechnungen'!O7/'3 - Treibstoffe Rechnungen'!M7))-(par_TS_MöstD_B0*1.2),0)</f>
        <v>0</v>
      </c>
      <c r="E22" s="278"/>
      <c r="F22" s="79"/>
      <c r="G22" s="79"/>
      <c r="H22" s="135"/>
      <c r="I22" s="135"/>
      <c r="J22" s="135"/>
      <c r="K22" s="98"/>
      <c r="L22" s="98"/>
      <c r="M22" s="98"/>
      <c r="N22" s="98"/>
      <c r="O22" s="98"/>
      <c r="P22" s="98"/>
      <c r="Q22" s="98"/>
      <c r="R22" s="98"/>
      <c r="S22" s="98"/>
      <c r="T22" s="98"/>
      <c r="U22" s="94"/>
    </row>
    <row r="23" spans="1:21" hidden="1" x14ac:dyDescent="0.25">
      <c r="A23" s="79"/>
      <c r="B23" s="283" t="s">
        <v>223</v>
      </c>
      <c r="C23" s="283">
        <f>IFERROR((('3 - Treibstoffe Rechnungen'!R9/'3 - Treibstoffe Rechnungen'!P9)/1.2)-par_TS_MöstB_E0,0)</f>
        <v>0</v>
      </c>
      <c r="D23" s="283">
        <f>IFERROR((('3 - Treibstoffe Rechnungen'!R7/'3 - Treibstoffe Rechnungen'!P7)/1.2)-par_TS_MöstD_B0,0)</f>
        <v>0</v>
      </c>
      <c r="E23" s="278"/>
      <c r="F23" s="79"/>
      <c r="G23" s="79"/>
      <c r="H23" s="135"/>
      <c r="I23" s="135"/>
      <c r="J23" s="135"/>
      <c r="K23" s="98"/>
      <c r="L23" s="98"/>
      <c r="M23" s="98"/>
      <c r="N23" s="98"/>
      <c r="O23" s="98"/>
      <c r="P23" s="98"/>
      <c r="Q23" s="98"/>
      <c r="R23" s="98"/>
      <c r="S23" s="98"/>
      <c r="T23" s="98"/>
      <c r="U23" s="94"/>
    </row>
    <row r="24" spans="1:21" ht="15.75" hidden="1" x14ac:dyDescent="0.3">
      <c r="A24" s="79"/>
      <c r="B24" s="167"/>
      <c r="C24" s="283"/>
      <c r="D24" s="283"/>
      <c r="E24" s="278"/>
      <c r="F24" s="33"/>
      <c r="G24" s="108"/>
      <c r="H24" s="135"/>
      <c r="I24" s="135"/>
      <c r="J24" s="135"/>
      <c r="K24" s="98"/>
      <c r="L24" s="98"/>
      <c r="M24" s="98"/>
      <c r="N24" s="98"/>
      <c r="O24" s="98"/>
      <c r="P24" s="98"/>
      <c r="Q24" s="98"/>
      <c r="R24" s="98"/>
      <c r="S24" s="98"/>
      <c r="T24" s="98"/>
      <c r="U24" s="94"/>
    </row>
    <row r="25" spans="1:21" ht="28.9" customHeight="1" x14ac:dyDescent="0.25">
      <c r="A25" s="79"/>
      <c r="B25" s="284" t="s">
        <v>79</v>
      </c>
      <c r="C25" s="285">
        <f>IFERROR(('3 - Treibstoffe'!C20*('3 - Treibstoffe Rechnungen'!M8/'3 - Treibstoffe'!$C$15)+'3 - Treibstoffe'!C21*('3 - Treibstoffe Rechnungen'!P8/'3 - Treibstoffe'!$C$15)+'3 - Treibstoffe'!C22*('3 - Treibstoffe Rechnungen'!M9/'3 - Treibstoffe'!$C$15)+'3 - Treibstoffe'!C23*('3 - Treibstoffe Rechnungen'!P9/'3 - Treibstoffe'!$C$15)),0)</f>
        <v>0</v>
      </c>
      <c r="D25" s="285">
        <f>IFERROR(('3 - Treibstoffe'!D20*('3 - Treibstoffe Rechnungen'!M6/'3 - Treibstoffe'!$D$15)+'3 - Treibstoffe'!D21*('3 - Treibstoffe Rechnungen'!P6/'3 - Treibstoffe'!$D$15)+'3 - Treibstoffe'!D22*('3 - Treibstoffe Rechnungen'!M7/'3 - Treibstoffe'!$D$15)+'3 - Treibstoffe'!D23*('3 - Treibstoffe Rechnungen'!P7/'3 - Treibstoffe'!$D$15)),0)</f>
        <v>0</v>
      </c>
      <c r="E25" s="279"/>
      <c r="F25" s="73" t="s">
        <v>4</v>
      </c>
      <c r="G25" s="306" t="s">
        <v>213</v>
      </c>
      <c r="H25" s="306"/>
      <c r="I25" s="306"/>
      <c r="J25" s="306"/>
      <c r="K25" s="306"/>
      <c r="L25" s="306"/>
      <c r="M25" s="306"/>
      <c r="N25" s="306"/>
      <c r="O25" s="306"/>
      <c r="P25" s="306"/>
      <c r="Q25" s="306"/>
      <c r="R25" s="306"/>
      <c r="S25" s="306"/>
      <c r="T25" s="306"/>
      <c r="U25" s="94"/>
    </row>
    <row r="26" spans="1:21" ht="15.75" x14ac:dyDescent="0.3">
      <c r="A26" s="79"/>
      <c r="B26" s="167"/>
      <c r="C26" s="283"/>
      <c r="D26" s="283"/>
      <c r="E26" s="278"/>
      <c r="F26" s="161"/>
      <c r="G26" s="98"/>
      <c r="H26" s="98"/>
      <c r="I26" s="98"/>
      <c r="J26" s="98"/>
      <c r="K26" s="98"/>
      <c r="L26" s="98"/>
      <c r="M26" s="98"/>
      <c r="N26" s="98"/>
      <c r="O26" s="98"/>
      <c r="P26" s="98"/>
      <c r="Q26" s="98"/>
      <c r="R26" s="98"/>
      <c r="S26" s="98"/>
      <c r="T26" s="98"/>
      <c r="U26" s="94"/>
    </row>
    <row r="27" spans="1:21" ht="15.75" x14ac:dyDescent="0.3">
      <c r="A27" s="79"/>
      <c r="B27" s="167"/>
      <c r="C27" s="283"/>
      <c r="D27" s="283"/>
      <c r="E27" s="278"/>
      <c r="F27" s="161"/>
      <c r="G27" s="98"/>
      <c r="H27" s="98"/>
      <c r="I27" s="98"/>
      <c r="J27" s="98"/>
      <c r="K27" s="98"/>
      <c r="L27" s="98"/>
      <c r="M27" s="98"/>
      <c r="N27" s="98"/>
      <c r="O27" s="98"/>
      <c r="P27" s="98"/>
      <c r="Q27" s="98"/>
      <c r="R27" s="98"/>
      <c r="S27" s="98"/>
      <c r="T27" s="98"/>
      <c r="U27" s="94"/>
    </row>
    <row r="28" spans="1:21" ht="15.75" x14ac:dyDescent="0.3">
      <c r="A28" s="79"/>
      <c r="B28" s="286" t="s">
        <v>80</v>
      </c>
      <c r="C28" s="302" t="str">
        <f>IF((C15+D15)&gt;0,(C15+D15),"0,0000")</f>
        <v>0,0000</v>
      </c>
      <c r="D28" s="303"/>
      <c r="E28" s="280"/>
      <c r="F28" s="33" t="s">
        <v>4</v>
      </c>
      <c r="G28" s="108" t="s">
        <v>245</v>
      </c>
      <c r="H28" s="98"/>
      <c r="I28" s="98"/>
      <c r="J28" s="98"/>
      <c r="K28" s="98"/>
      <c r="L28" s="98"/>
      <c r="M28" s="98"/>
      <c r="N28" s="98"/>
      <c r="O28" s="98"/>
      <c r="P28" s="98"/>
      <c r="Q28" s="98"/>
      <c r="R28" s="98"/>
      <c r="S28" s="98"/>
      <c r="T28" s="98"/>
      <c r="U28" s="94"/>
    </row>
    <row r="29" spans="1:21" ht="15.75" x14ac:dyDescent="0.3">
      <c r="A29" s="79"/>
      <c r="B29" s="287" t="s">
        <v>62</v>
      </c>
      <c r="C29" s="304" t="str">
        <f>IFERROR(MAX(ROUND((((D25*D15)+(C25*C15))/C28),4),0),"0,0000")</f>
        <v>0,0000</v>
      </c>
      <c r="D29" s="305"/>
      <c r="E29" s="281"/>
      <c r="F29" s="33" t="s">
        <v>4</v>
      </c>
      <c r="G29" s="108" t="s">
        <v>81</v>
      </c>
      <c r="H29" s="98"/>
      <c r="I29" s="98"/>
      <c r="J29" s="98"/>
      <c r="K29" s="98"/>
      <c r="L29" s="98"/>
      <c r="M29" s="98"/>
      <c r="N29" s="98"/>
      <c r="O29" s="98"/>
      <c r="P29" s="98"/>
      <c r="Q29" s="98"/>
      <c r="R29" s="98"/>
      <c r="S29" s="98"/>
      <c r="T29" s="98"/>
      <c r="U29" s="94"/>
    </row>
    <row r="30" spans="1:21" x14ac:dyDescent="0.25">
      <c r="A30" s="79"/>
      <c r="B30" s="96"/>
      <c r="C30" s="278"/>
      <c r="D30" s="278"/>
      <c r="E30" s="278"/>
      <c r="F30" s="98"/>
      <c r="G30" s="98"/>
      <c r="H30" s="98"/>
      <c r="I30" s="98"/>
      <c r="J30" s="98"/>
      <c r="K30" s="98"/>
      <c r="L30" s="98"/>
      <c r="M30" s="98"/>
      <c r="N30" s="98"/>
      <c r="O30" s="98"/>
      <c r="P30" s="98"/>
      <c r="Q30" s="98"/>
      <c r="R30" s="98"/>
      <c r="S30" s="98"/>
      <c r="T30" s="98"/>
      <c r="U30" s="94"/>
    </row>
    <row r="31" spans="1:21" x14ac:dyDescent="0.25">
      <c r="A31" s="79"/>
      <c r="B31" s="96"/>
      <c r="C31" s="96"/>
      <c r="D31" s="96"/>
      <c r="E31" s="96"/>
      <c r="F31" s="98"/>
      <c r="G31" s="98"/>
      <c r="H31" s="98"/>
      <c r="I31" s="98"/>
      <c r="J31" s="98"/>
      <c r="K31" s="98"/>
      <c r="L31" s="98"/>
      <c r="M31" s="98"/>
      <c r="N31" s="98"/>
      <c r="O31" s="98"/>
      <c r="P31" s="98"/>
      <c r="Q31" s="98"/>
      <c r="R31" s="98"/>
      <c r="S31" s="98"/>
      <c r="T31" s="98"/>
      <c r="U31" s="94"/>
    </row>
    <row r="32" spans="1:21" x14ac:dyDescent="0.25">
      <c r="A32" s="227"/>
      <c r="B32" s="96"/>
      <c r="C32" s="96"/>
      <c r="D32" s="96"/>
      <c r="E32" s="96"/>
      <c r="F32" s="98"/>
      <c r="G32" s="98"/>
      <c r="H32" s="98"/>
      <c r="I32" s="98"/>
      <c r="J32" s="98"/>
      <c r="K32" s="98"/>
      <c r="L32" s="98"/>
      <c r="M32" s="98"/>
      <c r="N32" s="98"/>
      <c r="O32" s="98"/>
      <c r="P32" s="98"/>
      <c r="Q32" s="98"/>
      <c r="R32" s="98"/>
      <c r="S32" s="98"/>
      <c r="T32" s="98"/>
      <c r="U32" s="94"/>
    </row>
    <row r="33" spans="1:21" x14ac:dyDescent="0.25">
      <c r="A33" s="79"/>
      <c r="B33" s="96"/>
      <c r="C33" s="96"/>
      <c r="D33" s="96"/>
      <c r="E33" s="96"/>
      <c r="F33" s="98"/>
      <c r="G33" s="98"/>
      <c r="H33" s="98"/>
      <c r="I33" s="98"/>
      <c r="J33" s="98"/>
      <c r="K33" s="98"/>
      <c r="L33" s="98"/>
      <c r="M33" s="98"/>
      <c r="N33" s="98"/>
      <c r="O33" s="98"/>
      <c r="P33" s="98"/>
      <c r="Q33" s="98"/>
      <c r="R33" s="98"/>
      <c r="S33" s="98"/>
      <c r="T33" s="98"/>
      <c r="U33" s="94"/>
    </row>
    <row r="34" spans="1:21" x14ac:dyDescent="0.25">
      <c r="A34" s="79"/>
      <c r="B34" s="96"/>
      <c r="C34" s="96"/>
      <c r="D34" s="96"/>
      <c r="E34" s="96"/>
      <c r="F34" s="98"/>
      <c r="G34" s="98"/>
      <c r="H34" s="98"/>
      <c r="I34" s="98"/>
      <c r="J34" s="98"/>
      <c r="K34" s="98"/>
      <c r="L34" s="98"/>
      <c r="M34" s="98"/>
      <c r="N34" s="98"/>
      <c r="O34" s="98"/>
      <c r="P34" s="98"/>
      <c r="Q34" s="98"/>
      <c r="R34" s="98"/>
      <c r="S34" s="98"/>
      <c r="T34" s="98"/>
      <c r="U34" s="94"/>
    </row>
    <row r="35" spans="1:21" x14ac:dyDescent="0.25">
      <c r="A35" s="79"/>
      <c r="B35" s="96"/>
      <c r="C35" s="96"/>
      <c r="D35" s="96"/>
      <c r="E35" s="96"/>
      <c r="F35" s="98"/>
      <c r="G35" s="98"/>
      <c r="H35" s="98"/>
      <c r="I35" s="98"/>
      <c r="J35" s="98"/>
      <c r="K35" s="98"/>
      <c r="L35" s="98"/>
      <c r="M35" s="98"/>
      <c r="N35" s="98"/>
      <c r="O35" s="98"/>
      <c r="P35" s="98"/>
      <c r="Q35" s="98"/>
      <c r="R35" s="98"/>
      <c r="S35" s="98"/>
      <c r="T35" s="98"/>
      <c r="U35" s="94"/>
    </row>
    <row r="36" spans="1:21" x14ac:dyDescent="0.25">
      <c r="A36" s="79"/>
      <c r="B36" s="96"/>
      <c r="C36" s="96"/>
      <c r="D36" s="96"/>
      <c r="E36" s="96"/>
      <c r="F36" s="98"/>
      <c r="G36" s="98"/>
      <c r="H36" s="98"/>
      <c r="I36" s="98"/>
      <c r="J36" s="98"/>
      <c r="K36" s="98"/>
      <c r="L36" s="98"/>
      <c r="M36" s="98"/>
      <c r="N36" s="98"/>
      <c r="O36" s="98"/>
      <c r="P36" s="98"/>
      <c r="Q36" s="98"/>
      <c r="R36" s="98"/>
      <c r="S36" s="98"/>
      <c r="T36" s="98"/>
      <c r="U36" s="94"/>
    </row>
    <row r="37" spans="1:21" x14ac:dyDescent="0.25">
      <c r="A37" s="79"/>
      <c r="B37" s="96"/>
      <c r="C37" s="96"/>
      <c r="D37" s="96"/>
      <c r="E37" s="96"/>
      <c r="F37" s="98"/>
      <c r="G37" s="98"/>
      <c r="H37" s="98"/>
      <c r="I37" s="98"/>
      <c r="J37" s="98"/>
      <c r="K37" s="98"/>
      <c r="L37" s="98"/>
      <c r="M37" s="98"/>
      <c r="N37" s="98"/>
      <c r="O37" s="98"/>
      <c r="P37" s="98"/>
      <c r="Q37" s="98"/>
      <c r="R37" s="98"/>
      <c r="S37" s="98"/>
      <c r="T37" s="98"/>
      <c r="U37" s="94"/>
    </row>
    <row r="38" spans="1:21" x14ac:dyDescent="0.25">
      <c r="A38" s="79"/>
      <c r="B38" s="96"/>
      <c r="C38" s="96"/>
      <c r="D38" s="96"/>
      <c r="E38" s="96"/>
      <c r="F38" s="98"/>
      <c r="G38" s="98"/>
      <c r="H38" s="98"/>
      <c r="I38" s="98"/>
      <c r="J38" s="98"/>
      <c r="K38" s="98"/>
      <c r="L38" s="98"/>
      <c r="M38" s="98"/>
      <c r="N38" s="98"/>
      <c r="O38" s="98"/>
      <c r="P38" s="98"/>
      <c r="Q38" s="98"/>
      <c r="R38" s="98"/>
      <c r="S38" s="98"/>
      <c r="T38" s="98"/>
      <c r="U38" s="94"/>
    </row>
    <row r="39" spans="1:21" x14ac:dyDescent="0.25">
      <c r="A39" s="79"/>
      <c r="B39" s="96"/>
      <c r="C39" s="96"/>
      <c r="D39" s="96"/>
      <c r="E39" s="96"/>
      <c r="F39" s="98"/>
      <c r="G39" s="98"/>
      <c r="H39" s="98"/>
      <c r="I39" s="98"/>
      <c r="J39" s="98"/>
      <c r="K39" s="98"/>
      <c r="L39" s="98"/>
      <c r="M39" s="98"/>
      <c r="N39" s="98"/>
      <c r="O39" s="98"/>
      <c r="P39" s="98"/>
      <c r="Q39" s="98"/>
      <c r="R39" s="98"/>
      <c r="S39" s="98"/>
      <c r="T39" s="98"/>
      <c r="U39" s="94"/>
    </row>
    <row r="40" spans="1:21" ht="26.65" customHeight="1" x14ac:dyDescent="0.25">
      <c r="A40" s="79"/>
      <c r="B40" s="96"/>
      <c r="C40" s="96"/>
      <c r="D40" s="96"/>
      <c r="E40" s="96"/>
      <c r="F40" s="98"/>
      <c r="G40" s="98"/>
      <c r="H40" s="98"/>
      <c r="I40" s="98"/>
      <c r="J40" s="98"/>
      <c r="K40" s="98"/>
      <c r="L40" s="98"/>
      <c r="M40" s="98"/>
      <c r="N40" s="98"/>
      <c r="O40" s="98"/>
      <c r="P40" s="98"/>
      <c r="Q40" s="98"/>
      <c r="R40" s="98"/>
      <c r="S40" s="98"/>
      <c r="T40" s="98"/>
      <c r="U40" s="94"/>
    </row>
    <row r="41" spans="1:21" x14ac:dyDescent="0.25">
      <c r="A41" s="79"/>
      <c r="B41" s="98"/>
      <c r="C41" s="98"/>
      <c r="D41" s="98"/>
      <c r="E41" s="98"/>
      <c r="F41" s="98"/>
      <c r="G41" s="98"/>
      <c r="H41" s="98"/>
      <c r="I41" s="98"/>
      <c r="J41" s="98"/>
      <c r="K41" s="98"/>
      <c r="L41" s="98"/>
      <c r="M41" s="98"/>
      <c r="N41" s="98"/>
      <c r="O41" s="98"/>
      <c r="P41" s="98"/>
      <c r="Q41" s="98"/>
      <c r="R41" s="98"/>
      <c r="S41" s="98"/>
      <c r="T41" s="98"/>
      <c r="U41" s="94"/>
    </row>
    <row r="42" spans="1:21" x14ac:dyDescent="0.25">
      <c r="F42" s="30"/>
      <c r="G42" s="30"/>
      <c r="H42" s="30"/>
      <c r="I42" s="30"/>
      <c r="J42" s="30"/>
      <c r="K42" s="30"/>
      <c r="L42" s="30"/>
      <c r="M42" s="30"/>
      <c r="N42" s="30"/>
      <c r="O42" s="30"/>
      <c r="P42" s="30"/>
      <c r="Q42" s="30"/>
      <c r="R42" s="30"/>
      <c r="S42" s="30"/>
      <c r="T42" s="30"/>
    </row>
  </sheetData>
  <sheetProtection algorithmName="SHA-512" hashValue="VQaPyQz5yW1IiQxykpmANDhzcwmm1S6uyAGvj7xJjWYCe0yeGO0yo+DX8jByVPPbcPilm1036CPQSqPVQfovoQ==" saltValue="iPkIlwFQwutHpkxChsnSzQ==" spinCount="100000" sheet="1" objects="1" scenarios="1"/>
  <mergeCells count="3">
    <mergeCell ref="C28:D28"/>
    <mergeCell ref="C29:D29"/>
    <mergeCell ref="G25:T25"/>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DAE8-FADE-4542-9034-5E0CA14203B3}">
  <sheetPr codeName="Tabelle11"/>
  <dimension ref="A1:Y67"/>
  <sheetViews>
    <sheetView showGridLines="0" zoomScale="85" zoomScaleNormal="85" workbookViewId="0">
      <selection activeCell="D12" sqref="D12"/>
    </sheetView>
  </sheetViews>
  <sheetFormatPr baseColWidth="10" defaultColWidth="10.7109375" defaultRowHeight="15" x14ac:dyDescent="0.25"/>
  <cols>
    <col min="1" max="1" width="2.28515625" style="94" customWidth="1"/>
    <col min="2" max="2" width="4.140625" style="94" customWidth="1"/>
    <col min="3" max="3" width="15.42578125" style="94" customWidth="1"/>
    <col min="4" max="4" width="18.7109375" style="94" customWidth="1"/>
    <col min="5" max="5" width="5.7109375" style="94" customWidth="1"/>
    <col min="6" max="6" width="16.42578125" style="94" customWidth="1"/>
    <col min="7" max="7" width="6.28515625" style="94" customWidth="1"/>
    <col min="8" max="8" width="12.42578125" style="94" customWidth="1"/>
    <col min="9" max="9" width="20.7109375" style="94" customWidth="1"/>
    <col min="10" max="10" width="23.42578125" style="94" customWidth="1"/>
    <col min="11" max="11" width="9.7109375" style="94" customWidth="1"/>
    <col min="12" max="12" width="14.140625" style="94" customWidth="1"/>
    <col min="13" max="13" width="12.7109375" style="94" customWidth="1"/>
    <col min="14" max="14" width="6.42578125" style="94" customWidth="1"/>
    <col min="15" max="15" width="9.5703125" style="94" customWidth="1"/>
    <col min="16" max="16" width="13.7109375" style="124" customWidth="1"/>
    <col min="17" max="17" width="14.85546875" style="124" customWidth="1"/>
    <col min="18" max="18" width="11.42578125" style="124" customWidth="1"/>
    <col min="19" max="19" width="13.42578125" style="124" customWidth="1"/>
    <col min="20" max="21" width="19.85546875" style="94" customWidth="1"/>
    <col min="22" max="22" width="18.28515625" style="94" customWidth="1"/>
    <col min="23" max="23" width="7.140625" style="124" customWidth="1"/>
    <col min="24" max="16384" width="10.7109375" style="94"/>
  </cols>
  <sheetData>
    <row r="1" spans="1:23" ht="33.6" customHeight="1" x14ac:dyDescent="0.5">
      <c r="B1" s="27" t="s">
        <v>121</v>
      </c>
    </row>
    <row r="2" spans="1:23" ht="18" customHeight="1" x14ac:dyDescent="0.3">
      <c r="B2" s="28" t="str">
        <f>"In vier Schritten zur Berechnung Ihres möglichen Zuschusses in der " &amp; par_EZ_Stufe &amp; " (für Unternehmen mit Energie-, Strom- und Treibstoffbeschaffungskosten bis EUR " &amp; par_EZ_Grenze_txt &amp; ".)"</f>
        <v>In vier Schritten zur Berechnung Ihres möglichen Zuschusses in der Basisstufe (für Unternehmen mit Energie-, Strom- und Treibstoffbeschaffungskosten bis EUR 80 Mio.)</v>
      </c>
    </row>
    <row r="3" spans="1:23" ht="8.4499999999999993" customHeight="1" thickBot="1" x14ac:dyDescent="0.35">
      <c r="B3" s="28"/>
    </row>
    <row r="4" spans="1:23" ht="18" customHeight="1" thickBot="1" x14ac:dyDescent="0.4">
      <c r="A4" s="164"/>
      <c r="B4" s="104" t="s">
        <v>2</v>
      </c>
      <c r="H4" s="307"/>
      <c r="I4" s="308"/>
    </row>
    <row r="5" spans="1:23" ht="9.6" customHeight="1" x14ac:dyDescent="0.35">
      <c r="A5" s="164"/>
      <c r="B5" s="104"/>
      <c r="H5" s="209"/>
      <c r="I5" s="209"/>
    </row>
    <row r="6" spans="1:23" ht="21" customHeight="1" x14ac:dyDescent="0.4">
      <c r="A6" s="165"/>
      <c r="B6" s="36" t="s">
        <v>229</v>
      </c>
      <c r="C6" s="96"/>
      <c r="D6" s="96"/>
      <c r="E6" s="96"/>
      <c r="F6" s="96"/>
      <c r="G6" s="96"/>
      <c r="H6" s="96"/>
      <c r="I6" s="96"/>
      <c r="J6" s="96"/>
      <c r="K6" s="96"/>
      <c r="L6" s="96"/>
      <c r="M6" s="96"/>
      <c r="N6" s="96"/>
      <c r="O6" s="96"/>
      <c r="P6" s="167"/>
      <c r="Q6" s="167"/>
      <c r="R6" s="167"/>
      <c r="S6" s="167"/>
      <c r="T6" s="96"/>
      <c r="U6" s="96"/>
      <c r="V6" s="96"/>
      <c r="W6" s="167"/>
    </row>
    <row r="7" spans="1:23" ht="9" customHeight="1" x14ac:dyDescent="0.35">
      <c r="A7" s="165"/>
      <c r="B7" s="96"/>
      <c r="C7" s="96"/>
      <c r="D7" s="96"/>
      <c r="E7" s="96"/>
      <c r="F7" s="96"/>
      <c r="G7" s="96"/>
      <c r="H7" s="96"/>
      <c r="I7" s="96"/>
      <c r="J7" s="96"/>
      <c r="K7" s="96"/>
      <c r="L7" s="96"/>
      <c r="M7" s="96"/>
      <c r="N7" s="96"/>
      <c r="O7" s="96"/>
      <c r="P7" s="167"/>
      <c r="Q7" s="167"/>
      <c r="R7" s="167"/>
      <c r="S7" s="167"/>
      <c r="T7" s="96"/>
      <c r="U7" s="96"/>
      <c r="V7" s="96"/>
      <c r="W7" s="167"/>
    </row>
    <row r="8" spans="1:23" ht="24" x14ac:dyDescent="0.4">
      <c r="A8" s="165"/>
      <c r="B8" s="207" t="s">
        <v>241</v>
      </c>
      <c r="C8" s="204"/>
      <c r="D8" s="96"/>
      <c r="E8" s="96"/>
      <c r="F8" s="96"/>
      <c r="G8" s="96"/>
      <c r="H8" s="96"/>
      <c r="I8" s="96"/>
      <c r="J8" s="96"/>
      <c r="K8" s="96"/>
      <c r="L8" s="96"/>
      <c r="M8" s="96"/>
      <c r="N8" s="96"/>
      <c r="O8" s="96"/>
      <c r="P8" s="167"/>
      <c r="Q8" s="167"/>
      <c r="R8" s="167"/>
      <c r="S8" s="167"/>
      <c r="T8" s="96"/>
      <c r="U8" s="96"/>
      <c r="V8" s="96"/>
      <c r="W8" s="167"/>
    </row>
    <row r="9" spans="1:23" ht="4.1500000000000004" customHeight="1" x14ac:dyDescent="0.35">
      <c r="A9" s="165"/>
      <c r="B9" s="166"/>
      <c r="C9" s="166"/>
      <c r="D9" s="96"/>
      <c r="E9" s="96"/>
      <c r="F9" s="96"/>
      <c r="G9" s="96"/>
      <c r="H9" s="96"/>
      <c r="I9" s="96"/>
      <c r="J9" s="96"/>
      <c r="K9" s="96"/>
      <c r="L9" s="96"/>
      <c r="M9" s="96"/>
      <c r="N9" s="96"/>
      <c r="O9" s="96"/>
      <c r="P9" s="167"/>
      <c r="Q9" s="167"/>
      <c r="R9" s="167"/>
      <c r="S9" s="167"/>
      <c r="T9" s="96"/>
      <c r="U9" s="96"/>
      <c r="V9" s="96"/>
      <c r="W9" s="167"/>
    </row>
    <row r="10" spans="1:23" ht="35.450000000000003" customHeight="1" x14ac:dyDescent="0.35">
      <c r="A10" s="165"/>
      <c r="B10" s="415" t="s">
        <v>230</v>
      </c>
      <c r="C10" s="415"/>
      <c r="D10" s="416" t="s">
        <v>122</v>
      </c>
      <c r="E10" s="418" t="s">
        <v>123</v>
      </c>
      <c r="F10" s="419"/>
      <c r="G10" s="420"/>
      <c r="H10" s="416" t="s">
        <v>122</v>
      </c>
      <c r="I10" s="96"/>
      <c r="J10" s="96"/>
      <c r="K10" s="96"/>
      <c r="L10" s="96"/>
      <c r="M10" s="96"/>
      <c r="N10" s="96"/>
      <c r="O10" s="96"/>
      <c r="P10" s="167"/>
      <c r="Q10" s="167"/>
      <c r="R10" s="167"/>
      <c r="S10" s="167"/>
      <c r="T10" s="96"/>
      <c r="U10" s="96"/>
      <c r="V10" s="96"/>
      <c r="W10" s="167"/>
    </row>
    <row r="11" spans="1:23" ht="19.899999999999999" customHeight="1" thickBot="1" x14ac:dyDescent="0.3">
      <c r="A11" s="167"/>
      <c r="B11" s="415"/>
      <c r="C11" s="415"/>
      <c r="D11" s="417"/>
      <c r="E11" s="421"/>
      <c r="F11" s="422"/>
      <c r="G11" s="423"/>
      <c r="H11" s="417"/>
      <c r="I11" s="167"/>
      <c r="J11" s="167"/>
      <c r="K11" s="167"/>
      <c r="L11" s="167"/>
      <c r="M11" s="168"/>
      <c r="N11" s="168"/>
      <c r="O11" s="168"/>
      <c r="P11" s="168"/>
      <c r="Q11" s="168"/>
      <c r="R11" s="167"/>
      <c r="S11" s="167"/>
      <c r="T11" s="96"/>
      <c r="U11" s="167"/>
      <c r="V11" s="96"/>
      <c r="W11" s="167"/>
    </row>
    <row r="12" spans="1:23" ht="27" customHeight="1" thickBot="1" x14ac:dyDescent="0.4">
      <c r="A12" s="165"/>
      <c r="B12" s="424" t="s">
        <v>138</v>
      </c>
      <c r="C12" s="425"/>
      <c r="D12" s="272" t="s">
        <v>246</v>
      </c>
      <c r="E12" s="336" t="s">
        <v>126</v>
      </c>
      <c r="F12" s="337"/>
      <c r="G12" s="426"/>
      <c r="H12" s="272" t="s">
        <v>125</v>
      </c>
      <c r="I12" s="167"/>
      <c r="J12" s="167"/>
      <c r="K12" s="96"/>
      <c r="L12" s="96"/>
      <c r="M12" s="96"/>
      <c r="N12" s="96"/>
      <c r="O12" s="96"/>
      <c r="P12" s="167"/>
      <c r="Q12" s="167"/>
      <c r="R12" s="167"/>
      <c r="S12" s="167"/>
      <c r="T12" s="96"/>
      <c r="U12" s="96"/>
      <c r="V12" s="96"/>
      <c r="W12" s="167"/>
    </row>
    <row r="13" spans="1:23" ht="27" customHeight="1" thickBot="1" x14ac:dyDescent="0.4">
      <c r="A13" s="165"/>
      <c r="B13" s="334" t="s">
        <v>118</v>
      </c>
      <c r="C13" s="335"/>
      <c r="D13" s="272" t="s">
        <v>246</v>
      </c>
      <c r="E13" s="336"/>
      <c r="F13" s="337"/>
      <c r="G13" s="337"/>
      <c r="H13" s="338"/>
      <c r="I13" s="167"/>
      <c r="J13" s="167"/>
      <c r="K13" s="96"/>
      <c r="L13" s="96"/>
      <c r="M13" s="96"/>
      <c r="N13" s="96"/>
      <c r="O13" s="96"/>
      <c r="P13" s="167"/>
      <c r="Q13" s="167"/>
      <c r="R13" s="167"/>
      <c r="S13" s="167"/>
      <c r="T13" s="96"/>
      <c r="U13" s="96"/>
      <c r="V13" s="96"/>
      <c r="W13" s="167"/>
    </row>
    <row r="14" spans="1:23" ht="27" customHeight="1" thickBot="1" x14ac:dyDescent="0.4">
      <c r="A14" s="165"/>
      <c r="B14" s="340" t="s">
        <v>119</v>
      </c>
      <c r="C14" s="341"/>
      <c r="D14" s="272" t="s">
        <v>246</v>
      </c>
      <c r="E14" s="336"/>
      <c r="F14" s="337"/>
      <c r="G14" s="337"/>
      <c r="H14" s="339"/>
      <c r="I14" s="167"/>
      <c r="J14" s="167"/>
      <c r="K14" s="96"/>
      <c r="L14" s="96"/>
      <c r="M14" s="96"/>
      <c r="N14" s="96"/>
      <c r="O14" s="96"/>
      <c r="P14" s="167"/>
      <c r="Q14" s="167"/>
      <c r="R14" s="167"/>
      <c r="S14" s="167"/>
      <c r="T14" s="96"/>
      <c r="U14" s="96"/>
      <c r="V14" s="96"/>
      <c r="W14" s="167"/>
    </row>
    <row r="15" spans="1:23" ht="6" customHeight="1" x14ac:dyDescent="0.35">
      <c r="A15" s="165"/>
      <c r="B15" s="96"/>
      <c r="C15" s="96"/>
      <c r="D15" s="96"/>
      <c r="E15" s="96"/>
      <c r="F15" s="96"/>
      <c r="G15" s="96"/>
      <c r="H15" s="169"/>
      <c r="I15" s="169"/>
      <c r="J15" s="169"/>
      <c r="K15" s="96"/>
      <c r="L15" s="96"/>
      <c r="M15" s="96"/>
      <c r="N15" s="96"/>
      <c r="O15" s="96"/>
      <c r="P15" s="167"/>
      <c r="Q15" s="167"/>
      <c r="R15" s="167"/>
      <c r="S15" s="167"/>
      <c r="T15" s="96"/>
      <c r="U15" s="96"/>
      <c r="V15" s="96"/>
      <c r="W15" s="167"/>
    </row>
    <row r="16" spans="1:23" ht="19.149999999999999" customHeight="1" x14ac:dyDescent="0.35">
      <c r="A16" s="165"/>
      <c r="B16" s="96"/>
      <c r="C16" s="96"/>
      <c r="D16" s="96"/>
      <c r="E16" s="96"/>
      <c r="F16" s="96"/>
      <c r="G16" s="96"/>
      <c r="H16" s="96"/>
      <c r="I16" s="96"/>
      <c r="J16" s="96"/>
      <c r="K16" s="96"/>
      <c r="L16" s="96"/>
      <c r="M16" s="96"/>
      <c r="N16" s="96"/>
      <c r="O16" s="96"/>
      <c r="P16" s="167"/>
      <c r="Q16" s="167"/>
      <c r="R16" s="167"/>
      <c r="S16" s="167"/>
      <c r="T16" s="96"/>
      <c r="U16" s="96"/>
      <c r="V16" s="96"/>
      <c r="W16" s="167"/>
    </row>
    <row r="17" spans="1:23" ht="19.5" x14ac:dyDescent="0.4">
      <c r="A17" s="167"/>
      <c r="B17" s="207" t="s">
        <v>242</v>
      </c>
      <c r="C17" s="167"/>
      <c r="D17" s="167"/>
      <c r="E17" s="167"/>
      <c r="F17" s="167"/>
      <c r="G17" s="167"/>
      <c r="H17" s="167"/>
      <c r="I17" s="167"/>
      <c r="J17" s="167"/>
      <c r="K17" s="167"/>
      <c r="L17" s="167"/>
      <c r="M17" s="414"/>
      <c r="N17" s="414"/>
      <c r="O17" s="168"/>
      <c r="P17" s="414"/>
      <c r="Q17" s="414"/>
      <c r="R17" s="167"/>
      <c r="S17" s="167"/>
      <c r="T17" s="167"/>
      <c r="U17" s="167"/>
      <c r="V17" s="167"/>
      <c r="W17" s="167"/>
    </row>
    <row r="18" spans="1:23" ht="34.5" customHeight="1" x14ac:dyDescent="0.3">
      <c r="A18" s="167"/>
      <c r="B18" s="166"/>
      <c r="C18" s="205" t="s">
        <v>233</v>
      </c>
      <c r="D18" s="167"/>
      <c r="E18" s="167"/>
      <c r="F18" s="167"/>
      <c r="G18" s="167"/>
      <c r="H18" s="167"/>
      <c r="I18" s="167"/>
      <c r="J18" s="167"/>
      <c r="K18" s="167"/>
      <c r="L18" s="167"/>
      <c r="M18" s="168"/>
      <c r="N18" s="168"/>
      <c r="O18" s="168"/>
      <c r="P18" s="168"/>
      <c r="Q18" s="168"/>
      <c r="R18" s="167"/>
      <c r="S18" s="167"/>
      <c r="T18" s="167"/>
      <c r="U18" s="167"/>
      <c r="V18" s="167"/>
      <c r="W18" s="167"/>
    </row>
    <row r="19" spans="1:23" ht="28.9" customHeight="1" x14ac:dyDescent="0.3">
      <c r="A19" s="167"/>
      <c r="B19" s="166"/>
      <c r="C19" s="331" t="s">
        <v>167</v>
      </c>
      <c r="D19" s="171" t="s">
        <v>127</v>
      </c>
      <c r="E19" s="330" t="s">
        <v>128</v>
      </c>
      <c r="F19" s="330"/>
      <c r="G19" s="167"/>
      <c r="H19" s="170"/>
      <c r="I19" s="170"/>
      <c r="J19" s="167"/>
      <c r="K19" s="167"/>
      <c r="L19" s="167"/>
      <c r="M19" s="168"/>
      <c r="N19" s="168"/>
      <c r="O19" s="168"/>
      <c r="P19" s="168"/>
      <c r="Q19" s="168"/>
      <c r="R19" s="167"/>
      <c r="S19" s="167"/>
      <c r="T19" s="167"/>
      <c r="U19" s="167"/>
      <c r="V19" s="167"/>
      <c r="W19" s="167"/>
    </row>
    <row r="20" spans="1:23" s="177" customFormat="1" ht="29.25" thickBot="1" x14ac:dyDescent="0.3">
      <c r="A20" s="170"/>
      <c r="B20" s="172"/>
      <c r="C20" s="332"/>
      <c r="D20" s="411" t="s">
        <v>124</v>
      </c>
      <c r="E20" s="413">
        <f>IFERROR(IF(do_Heizöl="JA",IFERROR(IF(HHH_VSt="JA",S21,IF(HHH_VSt="NEIN",S21*(1+par_TS_Ust),"")),0),0),0)</f>
        <v>0</v>
      </c>
      <c r="F20" s="413"/>
      <c r="G20" s="172"/>
      <c r="H20" s="406" t="s">
        <v>129</v>
      </c>
      <c r="I20" s="407"/>
      <c r="J20" s="173" t="s">
        <v>130</v>
      </c>
      <c r="K20" s="401" t="s">
        <v>131</v>
      </c>
      <c r="L20" s="401"/>
      <c r="M20" s="402" t="s">
        <v>224</v>
      </c>
      <c r="N20" s="403"/>
      <c r="O20" s="404"/>
      <c r="P20" s="174" t="s">
        <v>132</v>
      </c>
      <c r="Q20" s="174" t="s">
        <v>182</v>
      </c>
      <c r="R20" s="175" t="s">
        <v>133</v>
      </c>
      <c r="S20" s="175" t="s">
        <v>134</v>
      </c>
      <c r="T20" s="176"/>
      <c r="U20" s="176"/>
      <c r="V20" s="176"/>
      <c r="W20" s="172"/>
    </row>
    <row r="21" spans="1:23" ht="19.899999999999999" customHeight="1" thickBot="1" x14ac:dyDescent="0.3">
      <c r="A21" s="167"/>
      <c r="B21" s="108"/>
      <c r="C21" s="332"/>
      <c r="D21" s="412"/>
      <c r="E21" s="413"/>
      <c r="F21" s="413"/>
      <c r="G21" s="96"/>
      <c r="H21" s="342" t="str">
        <f>VLOOKUP(H20,Verweis_Heizölart,2,FALSE)</f>
        <v>Schwefelgehalt ≤10mg/kg</v>
      </c>
      <c r="I21" s="343"/>
      <c r="J21" s="210" t="str">
        <f>par_FZ_dText</f>
        <v>01.01.2023-30.06.2023</v>
      </c>
      <c r="K21" s="405"/>
      <c r="L21" s="405"/>
      <c r="M21" s="398"/>
      <c r="N21" s="398"/>
      <c r="O21" s="398"/>
      <c r="P21" s="211">
        <f>IFERROR(M21/K21,0)</f>
        <v>0</v>
      </c>
      <c r="Q21" s="212">
        <f>IF(HHH_VSt="NEIN",P21*par_Heizöl_USt,0)</f>
        <v>0</v>
      </c>
      <c r="R21" s="212">
        <f>VLOOKUP(H20,Verweis_Heizölart,3,FALSE)</f>
        <v>9.8000000000000004E-2</v>
      </c>
      <c r="S21" s="213">
        <f>IFERROR(IF(OR(AND(M21="",K21=""),AND(M21="",K21&lt;&gt;""),AND(M21&lt;&gt;"",K21="")),0,MAX((P21-R21),0)),0)</f>
        <v>0</v>
      </c>
      <c r="T21" s="167"/>
      <c r="U21" s="167"/>
      <c r="V21" s="167"/>
      <c r="W21" s="167"/>
    </row>
    <row r="22" spans="1:23" ht="11.45" customHeight="1" x14ac:dyDescent="0.25">
      <c r="A22" s="167"/>
      <c r="B22" s="108"/>
      <c r="C22" s="332"/>
      <c r="D22" s="324"/>
      <c r="E22" s="325"/>
      <c r="F22" s="326"/>
      <c r="G22" s="96"/>
      <c r="H22" s="178"/>
      <c r="I22" s="178"/>
      <c r="J22" s="201"/>
      <c r="K22" s="214"/>
      <c r="L22" s="214"/>
      <c r="M22" s="215"/>
      <c r="N22" s="215"/>
      <c r="O22" s="215"/>
      <c r="P22" s="216"/>
      <c r="Q22" s="217"/>
      <c r="R22" s="167"/>
      <c r="S22" s="167"/>
      <c r="T22" s="167"/>
      <c r="U22" s="167"/>
      <c r="V22" s="167"/>
      <c r="W22" s="167"/>
    </row>
    <row r="23" spans="1:23" s="177" customFormat="1" ht="27" customHeight="1" thickBot="1" x14ac:dyDescent="0.3">
      <c r="A23" s="176"/>
      <c r="B23" s="179"/>
      <c r="C23" s="332"/>
      <c r="D23" s="327"/>
      <c r="E23" s="328"/>
      <c r="F23" s="329"/>
      <c r="G23" s="172"/>
      <c r="H23" s="180"/>
      <c r="I23" s="180"/>
      <c r="J23" s="181" t="s">
        <v>130</v>
      </c>
      <c r="K23" s="393" t="s">
        <v>135</v>
      </c>
      <c r="L23" s="393"/>
      <c r="M23" s="394" t="s">
        <v>224</v>
      </c>
      <c r="N23" s="395"/>
      <c r="O23" s="396"/>
      <c r="P23" s="182" t="s">
        <v>136</v>
      </c>
      <c r="Q23" s="174" t="s">
        <v>182</v>
      </c>
      <c r="R23" s="176"/>
      <c r="S23" s="176"/>
      <c r="T23" s="176"/>
      <c r="U23" s="176"/>
      <c r="V23" s="176"/>
      <c r="W23" s="176"/>
    </row>
    <row r="24" spans="1:23" ht="19.899999999999999" customHeight="1" thickBot="1" x14ac:dyDescent="0.3">
      <c r="A24" s="167"/>
      <c r="B24" s="108"/>
      <c r="C24" s="332"/>
      <c r="D24" s="183" t="s">
        <v>118</v>
      </c>
      <c r="E24" s="410">
        <f>IFERROR(IF(do_Pellets="JA",P24+Q24,0),0)</f>
        <v>0</v>
      </c>
      <c r="F24" s="410"/>
      <c r="G24" s="96"/>
      <c r="H24" s="311" t="s">
        <v>118</v>
      </c>
      <c r="I24" s="388"/>
      <c r="J24" s="218" t="str">
        <f>J21</f>
        <v>01.01.2023-30.06.2023</v>
      </c>
      <c r="K24" s="397"/>
      <c r="L24" s="397"/>
      <c r="M24" s="398"/>
      <c r="N24" s="398"/>
      <c r="O24" s="398"/>
      <c r="P24" s="219">
        <f>IFERROR(M24/K24,0)</f>
        <v>0</v>
      </c>
      <c r="Q24" s="212">
        <f>IF(HHH_VSt="NEIN",P24*par_Pell_USt,0)</f>
        <v>0</v>
      </c>
      <c r="R24" s="408"/>
      <c r="S24" s="408"/>
      <c r="T24" s="96"/>
      <c r="U24" s="167"/>
      <c r="V24" s="167"/>
      <c r="W24" s="167"/>
    </row>
    <row r="25" spans="1:23" ht="19.899999999999999" customHeight="1" thickBot="1" x14ac:dyDescent="0.3">
      <c r="A25" s="167"/>
      <c r="B25" s="108"/>
      <c r="C25" s="333"/>
      <c r="D25" s="184" t="s">
        <v>119</v>
      </c>
      <c r="E25" s="409">
        <f>IFERROR(IF(do_Hackschnitzel="JA",P25+Q25,0),0)</f>
        <v>0</v>
      </c>
      <c r="F25" s="409"/>
      <c r="G25" s="96"/>
      <c r="H25" s="399" t="s">
        <v>119</v>
      </c>
      <c r="I25" s="400"/>
      <c r="J25" s="220" t="str">
        <f>J21</f>
        <v>01.01.2023-30.06.2023</v>
      </c>
      <c r="K25" s="397"/>
      <c r="L25" s="397"/>
      <c r="M25" s="398"/>
      <c r="N25" s="398"/>
      <c r="O25" s="398"/>
      <c r="P25" s="221">
        <f>IFERROR(M25/K25,0)</f>
        <v>0</v>
      </c>
      <c r="Q25" s="212">
        <f>IF(HHH_VSt="NEIN",P25*par_Hack_USt,0)</f>
        <v>0</v>
      </c>
      <c r="R25" s="167"/>
      <c r="S25" s="167"/>
      <c r="T25" s="96"/>
      <c r="U25" s="167"/>
      <c r="V25" s="167"/>
      <c r="W25" s="167"/>
    </row>
    <row r="26" spans="1:23" ht="15" customHeight="1" x14ac:dyDescent="0.25">
      <c r="A26" s="167"/>
      <c r="B26" s="108"/>
      <c r="C26" s="185"/>
      <c r="D26" s="185"/>
      <c r="E26" s="185"/>
      <c r="F26" s="185"/>
      <c r="G26" s="96"/>
      <c r="H26" s="222"/>
      <c r="I26" s="222"/>
      <c r="J26" s="96"/>
      <c r="K26" s="96"/>
      <c r="L26" s="96"/>
      <c r="M26" s="96"/>
      <c r="N26" s="96"/>
      <c r="O26" s="96"/>
      <c r="P26" s="167"/>
      <c r="Q26" s="167"/>
      <c r="R26" s="167"/>
      <c r="S26" s="167"/>
      <c r="T26" s="96"/>
      <c r="U26" s="167"/>
      <c r="V26" s="167"/>
      <c r="W26" s="167"/>
    </row>
    <row r="27" spans="1:23" ht="24" customHeight="1" thickBot="1" x14ac:dyDescent="0.3">
      <c r="A27" s="167"/>
      <c r="B27" s="108"/>
      <c r="C27" s="206" t="s">
        <v>234</v>
      </c>
      <c r="D27" s="108"/>
      <c r="E27" s="108"/>
      <c r="F27" s="108"/>
      <c r="G27" s="96"/>
      <c r="H27" s="187"/>
      <c r="I27" s="187"/>
      <c r="J27" s="96"/>
      <c r="K27" s="96"/>
      <c r="L27" s="108"/>
      <c r="M27" s="108"/>
      <c r="N27" s="108"/>
      <c r="O27" s="108"/>
      <c r="P27" s="167"/>
      <c r="Q27" s="167"/>
      <c r="R27" s="167"/>
      <c r="S27" s="167"/>
      <c r="T27" s="167"/>
      <c r="U27" s="167"/>
      <c r="V27" s="167"/>
      <c r="W27" s="167"/>
    </row>
    <row r="28" spans="1:23" ht="21" customHeight="1" thickBot="1" x14ac:dyDescent="0.3">
      <c r="A28" s="167"/>
      <c r="B28" s="108"/>
      <c r="C28" s="315" t="s">
        <v>137</v>
      </c>
      <c r="D28" s="316"/>
      <c r="E28" s="316"/>
      <c r="F28" s="317"/>
      <c r="G28" s="188"/>
      <c r="H28" s="309" t="s">
        <v>138</v>
      </c>
      <c r="I28" s="310"/>
      <c r="J28" s="273" t="s">
        <v>125</v>
      </c>
      <c r="K28" s="73" t="s">
        <v>4</v>
      </c>
      <c r="L28" s="134" t="s">
        <v>231</v>
      </c>
      <c r="M28" s="108"/>
      <c r="N28" s="108"/>
      <c r="O28" s="108"/>
      <c r="P28" s="167"/>
      <c r="Q28" s="167"/>
      <c r="R28" s="167"/>
      <c r="S28" s="167"/>
      <c r="T28" s="167"/>
      <c r="U28" s="167"/>
      <c r="V28" s="167"/>
      <c r="W28" s="167"/>
    </row>
    <row r="29" spans="1:23" ht="21" customHeight="1" thickBot="1" x14ac:dyDescent="0.35">
      <c r="A29" s="167"/>
      <c r="B29" s="108"/>
      <c r="C29" s="318" t="s">
        <v>232</v>
      </c>
      <c r="D29" s="319"/>
      <c r="E29" s="319"/>
      <c r="F29" s="320"/>
      <c r="G29" s="188"/>
      <c r="H29" s="311" t="s">
        <v>118</v>
      </c>
      <c r="I29" s="312"/>
      <c r="J29" s="273" t="s">
        <v>125</v>
      </c>
      <c r="K29" s="33"/>
      <c r="L29" s="108"/>
      <c r="M29" s="108"/>
      <c r="N29" s="108"/>
      <c r="O29" s="108"/>
      <c r="P29" s="189"/>
      <c r="Q29" s="189"/>
      <c r="R29" s="189"/>
      <c r="S29" s="189"/>
      <c r="T29" s="189"/>
      <c r="U29" s="290"/>
      <c r="V29" s="290"/>
      <c r="W29" s="290"/>
    </row>
    <row r="30" spans="1:23" ht="21" customHeight="1" thickBot="1" x14ac:dyDescent="0.35">
      <c r="A30" s="167"/>
      <c r="B30" s="108"/>
      <c r="C30" s="321"/>
      <c r="D30" s="322"/>
      <c r="E30" s="322"/>
      <c r="F30" s="323"/>
      <c r="G30" s="190"/>
      <c r="H30" s="313" t="s">
        <v>119</v>
      </c>
      <c r="I30" s="314"/>
      <c r="J30" s="273" t="s">
        <v>125</v>
      </c>
      <c r="K30" s="33"/>
      <c r="L30" s="108"/>
      <c r="M30" s="108"/>
      <c r="N30" s="108"/>
      <c r="O30" s="108"/>
      <c r="P30" s="189"/>
      <c r="Q30" s="189"/>
      <c r="R30" s="189"/>
      <c r="S30" s="189"/>
      <c r="T30" s="189"/>
      <c r="U30" s="290"/>
      <c r="V30" s="290"/>
      <c r="W30" s="290"/>
    </row>
    <row r="31" spans="1:23" ht="9" customHeight="1" x14ac:dyDescent="0.25">
      <c r="A31" s="167"/>
      <c r="B31" s="108"/>
      <c r="C31" s="108"/>
      <c r="D31" s="108"/>
      <c r="E31" s="108"/>
      <c r="F31" s="108"/>
      <c r="G31" s="108"/>
      <c r="H31" s="186"/>
      <c r="I31" s="186"/>
      <c r="J31" s="108"/>
      <c r="K31" s="108"/>
      <c r="L31" s="108"/>
      <c r="M31" s="108"/>
      <c r="N31" s="108"/>
      <c r="O31" s="108"/>
      <c r="P31" s="167"/>
      <c r="Q31" s="167"/>
      <c r="R31" s="167"/>
      <c r="S31" s="167"/>
      <c r="T31" s="167"/>
      <c r="U31" s="167"/>
      <c r="V31" s="167"/>
      <c r="W31" s="167"/>
    </row>
    <row r="32" spans="1:23" ht="30" customHeight="1" x14ac:dyDescent="0.25">
      <c r="A32" s="167"/>
      <c r="B32" s="108"/>
      <c r="C32" s="331" t="s">
        <v>166</v>
      </c>
      <c r="D32" s="191" t="s">
        <v>127</v>
      </c>
      <c r="E32" s="330" t="s">
        <v>128</v>
      </c>
      <c r="F32" s="330"/>
      <c r="G32" s="167"/>
      <c r="H32" s="169"/>
      <c r="I32" s="169"/>
      <c r="J32" s="167"/>
      <c r="K32" s="167"/>
      <c r="L32" s="167"/>
      <c r="M32" s="168"/>
      <c r="N32" s="168"/>
      <c r="O32" s="168"/>
      <c r="P32" s="168"/>
      <c r="Q32" s="168"/>
      <c r="R32" s="167"/>
      <c r="S32" s="189"/>
      <c r="T32" s="189"/>
      <c r="U32" s="290"/>
      <c r="V32" s="290"/>
      <c r="W32" s="290"/>
    </row>
    <row r="33" spans="1:25" ht="29.25" thickBot="1" x14ac:dyDescent="0.3">
      <c r="A33" s="167"/>
      <c r="B33" s="108"/>
      <c r="C33" s="332"/>
      <c r="D33" s="348" t="s">
        <v>124</v>
      </c>
      <c r="E33" s="350">
        <f>IFERROR(IF(do_Heizöl="JA",IF(J28="NEIN",E20/par_Heizöl_VZfaktor,IFERROR(IF(HHH_VSt="JA",S34,IF(HHH_VSt="NEIN",S34*(1+par_TS_Ust),"")),0)),0),0)</f>
        <v>0</v>
      </c>
      <c r="F33" s="351"/>
      <c r="G33" s="172"/>
      <c r="H33" s="406" t="str">
        <f>Heizölart</f>
        <v>Extra leichtes Heizöl</v>
      </c>
      <c r="I33" s="407"/>
      <c r="J33" s="173" t="s">
        <v>130</v>
      </c>
      <c r="K33" s="401" t="s">
        <v>139</v>
      </c>
      <c r="L33" s="401"/>
      <c r="M33" s="402" t="s">
        <v>225</v>
      </c>
      <c r="N33" s="403"/>
      <c r="O33" s="404"/>
      <c r="P33" s="174" t="s">
        <v>132</v>
      </c>
      <c r="Q33" s="174" t="s">
        <v>182</v>
      </c>
      <c r="R33" s="175" t="s">
        <v>133</v>
      </c>
      <c r="S33" s="175" t="s">
        <v>134</v>
      </c>
      <c r="T33" s="189"/>
      <c r="U33" s="290"/>
      <c r="V33" s="290"/>
      <c r="W33" s="290"/>
    </row>
    <row r="34" spans="1:25" ht="19.899999999999999" customHeight="1" thickBot="1" x14ac:dyDescent="0.3">
      <c r="A34" s="167"/>
      <c r="B34" s="108"/>
      <c r="C34" s="332"/>
      <c r="D34" s="349"/>
      <c r="E34" s="352"/>
      <c r="F34" s="353"/>
      <c r="G34" s="96"/>
      <c r="H34" s="342" t="str">
        <f>H21</f>
        <v>Schwefelgehalt ≤10mg/kg</v>
      </c>
      <c r="I34" s="343"/>
      <c r="J34" s="210" t="str">
        <f>par_VZ_dText</f>
        <v>01.01.2021-31.12.2021</v>
      </c>
      <c r="K34" s="405"/>
      <c r="L34" s="405"/>
      <c r="M34" s="398"/>
      <c r="N34" s="398"/>
      <c r="O34" s="398"/>
      <c r="P34" s="211">
        <f>IFERROR(M34/K34,0)</f>
        <v>0</v>
      </c>
      <c r="Q34" s="212">
        <f>IF(HHH_VSt="NEIN",P34*par_Heizöl_USt,0)</f>
        <v>0</v>
      </c>
      <c r="R34" s="212">
        <f>R21</f>
        <v>9.8000000000000004E-2</v>
      </c>
      <c r="S34" s="213">
        <f>IFERROR(IF(OR(AND(M34="",K34=""),AND(M34="",K34&lt;&gt;""),AND(M34&lt;&gt;"",K34="")),0,MAX((P34-R34),0)),0)</f>
        <v>0</v>
      </c>
      <c r="T34" s="189"/>
      <c r="U34" s="290"/>
      <c r="V34" s="290"/>
      <c r="W34" s="290"/>
    </row>
    <row r="35" spans="1:25" ht="9" customHeight="1" x14ac:dyDescent="0.25">
      <c r="A35" s="167"/>
      <c r="B35" s="108"/>
      <c r="C35" s="332"/>
      <c r="D35" s="324"/>
      <c r="E35" s="325"/>
      <c r="F35" s="326"/>
      <c r="G35" s="96"/>
      <c r="H35" s="178"/>
      <c r="I35" s="178"/>
      <c r="J35" s="201"/>
      <c r="K35" s="214"/>
      <c r="L35" s="214"/>
      <c r="M35" s="215"/>
      <c r="N35" s="215"/>
      <c r="O35" s="215"/>
      <c r="P35" s="216"/>
      <c r="Q35" s="217"/>
      <c r="R35" s="167"/>
      <c r="S35" s="189"/>
      <c r="T35" s="189"/>
      <c r="U35" s="290"/>
      <c r="V35" s="290"/>
      <c r="W35" s="290"/>
    </row>
    <row r="36" spans="1:25" ht="27" customHeight="1" thickBot="1" x14ac:dyDescent="0.3">
      <c r="A36" s="167"/>
      <c r="B36" s="108"/>
      <c r="C36" s="332"/>
      <c r="D36" s="327"/>
      <c r="E36" s="328"/>
      <c r="F36" s="329"/>
      <c r="G36" s="172"/>
      <c r="H36" s="180"/>
      <c r="I36" s="180"/>
      <c r="J36" s="181" t="s">
        <v>130</v>
      </c>
      <c r="K36" s="393" t="s">
        <v>140</v>
      </c>
      <c r="L36" s="393"/>
      <c r="M36" s="394" t="s">
        <v>141</v>
      </c>
      <c r="N36" s="395"/>
      <c r="O36" s="396"/>
      <c r="P36" s="182" t="s">
        <v>136</v>
      </c>
      <c r="Q36" s="174" t="s">
        <v>182</v>
      </c>
      <c r="R36" s="176"/>
      <c r="S36" s="189"/>
      <c r="T36" s="189"/>
      <c r="U36" s="290"/>
      <c r="V36" s="290"/>
      <c r="W36" s="290"/>
    </row>
    <row r="37" spans="1:25" ht="19.899999999999999" customHeight="1" thickBot="1" x14ac:dyDescent="0.3">
      <c r="A37" s="167"/>
      <c r="B37" s="108"/>
      <c r="C37" s="332"/>
      <c r="D37" s="183" t="s">
        <v>118</v>
      </c>
      <c r="E37" s="354">
        <f>IFERROR(IF(do_Pellets="JA",IFERROR(IF(J29="NEIN",E24/par_Pell_VZfaktor,P37+Q37),0),0),0)</f>
        <v>0</v>
      </c>
      <c r="F37" s="355"/>
      <c r="G37" s="96"/>
      <c r="H37" s="311" t="s">
        <v>118</v>
      </c>
      <c r="I37" s="388"/>
      <c r="J37" s="218" t="str">
        <f>J34</f>
        <v>01.01.2021-31.12.2021</v>
      </c>
      <c r="K37" s="397"/>
      <c r="L37" s="397"/>
      <c r="M37" s="398"/>
      <c r="N37" s="398"/>
      <c r="O37" s="398"/>
      <c r="P37" s="219">
        <f>IFERROR(M37/K37,0)</f>
        <v>0</v>
      </c>
      <c r="Q37" s="212">
        <f>IF(HHH_VSt="NEIN",P37*par_Pell_USt,0)</f>
        <v>0</v>
      </c>
      <c r="R37" s="167"/>
      <c r="S37" s="189"/>
      <c r="T37" s="189"/>
      <c r="U37" s="290"/>
      <c r="V37" s="290"/>
      <c r="W37" s="290"/>
    </row>
    <row r="38" spans="1:25" ht="19.899999999999999" customHeight="1" thickBot="1" x14ac:dyDescent="0.3">
      <c r="A38" s="167"/>
      <c r="B38" s="108"/>
      <c r="C38" s="333"/>
      <c r="D38" s="184" t="s">
        <v>119</v>
      </c>
      <c r="E38" s="356">
        <f>IFERROR(IF(do_Hackschnitzel="JA",IFERROR(IF(J30="NEIN",E25/par_Hack_VZfaktor,P38+Q38),0),0),0)</f>
        <v>0</v>
      </c>
      <c r="F38" s="357"/>
      <c r="G38" s="96"/>
      <c r="H38" s="399" t="s">
        <v>119</v>
      </c>
      <c r="I38" s="400"/>
      <c r="J38" s="220" t="str">
        <f>J34</f>
        <v>01.01.2021-31.12.2021</v>
      </c>
      <c r="K38" s="397"/>
      <c r="L38" s="397"/>
      <c r="M38" s="398"/>
      <c r="N38" s="398"/>
      <c r="O38" s="398"/>
      <c r="P38" s="221">
        <f>IFERROR(M38/K38,0)</f>
        <v>0</v>
      </c>
      <c r="Q38" s="212">
        <f>IF(HHH_VSt="NEIN",P38*par_Hack_USt,0)</f>
        <v>0</v>
      </c>
      <c r="R38" s="167"/>
      <c r="S38" s="189"/>
      <c r="T38" s="189"/>
      <c r="U38" s="290"/>
      <c r="V38" s="290"/>
      <c r="W38" s="290"/>
    </row>
    <row r="39" spans="1:25" ht="19.899999999999999" customHeight="1" x14ac:dyDescent="0.25">
      <c r="A39" s="167"/>
      <c r="B39" s="108"/>
      <c r="C39" s="192"/>
      <c r="D39" s="167"/>
      <c r="E39" s="168"/>
      <c r="F39" s="168"/>
      <c r="G39" s="190"/>
      <c r="H39" s="190"/>
      <c r="I39" s="190"/>
      <c r="J39" s="190"/>
      <c r="K39" s="168"/>
      <c r="L39" s="108"/>
      <c r="M39" s="108"/>
      <c r="N39" s="108"/>
      <c r="O39" s="108"/>
      <c r="P39" s="189"/>
      <c r="Q39" s="189"/>
      <c r="R39" s="189"/>
      <c r="S39" s="189"/>
      <c r="T39" s="189"/>
      <c r="U39" s="290"/>
      <c r="V39" s="290"/>
      <c r="W39" s="290"/>
    </row>
    <row r="40" spans="1:25" ht="13.15" customHeight="1" x14ac:dyDescent="0.25">
      <c r="A40" s="167"/>
      <c r="B40" s="108"/>
      <c r="C40" s="193"/>
      <c r="D40" s="193"/>
      <c r="E40" s="193"/>
      <c r="F40" s="193"/>
      <c r="G40" s="193"/>
      <c r="H40" s="108"/>
      <c r="I40" s="108"/>
      <c r="J40" s="108"/>
      <c r="K40" s="108"/>
      <c r="L40" s="108"/>
      <c r="M40" s="108"/>
      <c r="N40" s="108"/>
      <c r="O40" s="108"/>
      <c r="P40" s="189"/>
      <c r="Q40" s="189"/>
      <c r="R40" s="189"/>
      <c r="S40" s="189"/>
      <c r="T40" s="189"/>
      <c r="U40" s="290"/>
      <c r="V40" s="290"/>
      <c r="W40" s="290"/>
    </row>
    <row r="41" spans="1:25" ht="22.9" customHeight="1" x14ac:dyDescent="0.4">
      <c r="A41" s="167"/>
      <c r="B41" s="207" t="s">
        <v>243</v>
      </c>
      <c r="C41" s="96"/>
      <c r="D41" s="96"/>
      <c r="E41" s="193"/>
      <c r="F41" s="193"/>
      <c r="G41" s="193"/>
      <c r="H41" s="108"/>
      <c r="I41" s="108"/>
      <c r="J41" s="108"/>
      <c r="K41" s="96"/>
      <c r="L41" s="96"/>
      <c r="M41" s="96"/>
      <c r="N41" s="96"/>
      <c r="O41" s="96"/>
      <c r="P41" s="189"/>
      <c r="Q41" s="189"/>
      <c r="R41" s="189"/>
      <c r="S41" s="189"/>
      <c r="T41" s="189"/>
      <c r="U41" s="290"/>
      <c r="V41" s="290"/>
      <c r="W41" s="290"/>
    </row>
    <row r="42" spans="1:25" ht="16.149999999999999" customHeight="1" x14ac:dyDescent="0.25">
      <c r="A42" s="167"/>
      <c r="B42" s="108"/>
      <c r="C42" s="193"/>
      <c r="D42" s="193"/>
      <c r="E42" s="193"/>
      <c r="F42" s="193"/>
      <c r="G42" s="193"/>
      <c r="H42" s="108"/>
      <c r="I42" s="108"/>
      <c r="J42" s="108"/>
      <c r="K42" s="96"/>
      <c r="L42" s="96"/>
      <c r="M42" s="96"/>
      <c r="N42" s="96"/>
      <c r="O42" s="96"/>
      <c r="P42" s="189"/>
      <c r="Q42" s="189"/>
      <c r="R42" s="189"/>
      <c r="S42" s="189"/>
      <c r="T42" s="189"/>
      <c r="U42" s="290"/>
      <c r="V42" s="290"/>
      <c r="W42" s="290"/>
    </row>
    <row r="43" spans="1:25" ht="31.9" customHeight="1" thickBot="1" x14ac:dyDescent="0.3">
      <c r="A43" s="167"/>
      <c r="B43" s="108"/>
      <c r="C43" s="331" t="s">
        <v>181</v>
      </c>
      <c r="D43" s="171" t="s">
        <v>127</v>
      </c>
      <c r="E43" s="330" t="s">
        <v>142</v>
      </c>
      <c r="F43" s="330"/>
      <c r="G43" s="193"/>
      <c r="H43" s="252" t="s">
        <v>244</v>
      </c>
      <c r="I43" s="170"/>
      <c r="J43" s="108"/>
      <c r="K43" s="96"/>
      <c r="L43" s="96"/>
      <c r="M43" s="96"/>
      <c r="N43" s="96"/>
      <c r="O43" s="96"/>
      <c r="P43" s="189"/>
      <c r="Q43" s="189"/>
      <c r="R43" s="189"/>
      <c r="S43" s="189"/>
      <c r="T43" s="189"/>
      <c r="U43" s="290"/>
      <c r="V43" s="290"/>
      <c r="W43" s="290"/>
    </row>
    <row r="44" spans="1:25" ht="42" customHeight="1" thickBot="1" x14ac:dyDescent="0.3">
      <c r="A44" s="167"/>
      <c r="B44" s="108"/>
      <c r="C44" s="332"/>
      <c r="D44" s="194" t="s">
        <v>124</v>
      </c>
      <c r="E44" s="380">
        <f>IFERROR(IF(ISERROR(SEARCH("Inventurmethode",K44)),M62,M53)*par_FZ_Monate,0)</f>
        <v>0</v>
      </c>
      <c r="F44" s="381"/>
      <c r="G44" s="193"/>
      <c r="H44" s="382" t="s">
        <v>138</v>
      </c>
      <c r="I44" s="383"/>
      <c r="J44" s="195" t="s">
        <v>144</v>
      </c>
      <c r="K44" s="384" t="s">
        <v>145</v>
      </c>
      <c r="L44" s="384"/>
      <c r="M44" s="384"/>
      <c r="N44" s="96"/>
      <c r="O44" s="96"/>
      <c r="P44" s="167"/>
      <c r="Q44" s="167"/>
      <c r="R44" s="167"/>
      <c r="S44" s="167"/>
      <c r="T44" s="189"/>
      <c r="U44" s="96"/>
      <c r="V44" s="290"/>
      <c r="W44" s="290"/>
    </row>
    <row r="45" spans="1:25" ht="42" customHeight="1" thickBot="1" x14ac:dyDescent="0.3">
      <c r="A45" s="167"/>
      <c r="B45" s="108"/>
      <c r="C45" s="332"/>
      <c r="D45" s="183" t="s">
        <v>118</v>
      </c>
      <c r="E45" s="385">
        <f>IFERROR(IF(ISERROR(SEARCH("Inventurmethode",K45)),M63,M54)*par_FZ_Monate,0)</f>
        <v>0</v>
      </c>
      <c r="F45" s="386"/>
      <c r="G45" s="193"/>
      <c r="H45" s="387" t="s">
        <v>118</v>
      </c>
      <c r="I45" s="388"/>
      <c r="J45" s="196" t="s">
        <v>144</v>
      </c>
      <c r="K45" s="384" t="s">
        <v>145</v>
      </c>
      <c r="L45" s="384"/>
      <c r="M45" s="384"/>
      <c r="N45" s="96"/>
      <c r="O45" s="96"/>
      <c r="P45" s="167"/>
      <c r="Q45" s="167"/>
      <c r="R45" s="167"/>
      <c r="S45" s="167"/>
      <c r="T45" s="189"/>
      <c r="U45" s="292"/>
      <c r="V45" s="292"/>
      <c r="W45" s="292"/>
      <c r="X45"/>
      <c r="Y45"/>
    </row>
    <row r="46" spans="1:25" ht="42" customHeight="1" thickBot="1" x14ac:dyDescent="0.3">
      <c r="A46" s="167"/>
      <c r="B46" s="108"/>
      <c r="C46" s="333"/>
      <c r="D46" s="184" t="s">
        <v>119</v>
      </c>
      <c r="E46" s="389">
        <f>IFERROR(IF(ISERROR(SEARCH("Inventurmethode",K46)),M64,M55)*par_FZ_Monate,0)</f>
        <v>0</v>
      </c>
      <c r="F46" s="390"/>
      <c r="G46" s="193"/>
      <c r="H46" s="391" t="s">
        <v>119</v>
      </c>
      <c r="I46" s="392"/>
      <c r="J46" s="197" t="s">
        <v>144</v>
      </c>
      <c r="K46" s="384" t="s">
        <v>145</v>
      </c>
      <c r="L46" s="384"/>
      <c r="M46" s="384"/>
      <c r="N46" s="96"/>
      <c r="O46" s="96"/>
      <c r="P46" s="167"/>
      <c r="Q46" s="167"/>
      <c r="R46" s="167"/>
      <c r="S46" s="167"/>
      <c r="T46" s="189"/>
      <c r="U46" s="292"/>
      <c r="V46" s="292"/>
      <c r="W46" s="292"/>
      <c r="X46"/>
      <c r="Y46"/>
    </row>
    <row r="47" spans="1:25" ht="16.149999999999999" customHeight="1" x14ac:dyDescent="0.25">
      <c r="A47" s="167"/>
      <c r="B47" s="108"/>
      <c r="C47" s="193"/>
      <c r="D47" s="193"/>
      <c r="E47" s="193"/>
      <c r="F47" s="193"/>
      <c r="G47" s="193"/>
      <c r="H47" s="108"/>
      <c r="I47" s="108"/>
      <c r="J47" s="108"/>
      <c r="K47" s="96"/>
      <c r="L47" s="96"/>
      <c r="M47" s="96"/>
      <c r="N47" s="96"/>
      <c r="O47" s="96"/>
      <c r="P47" s="189"/>
      <c r="Q47" s="189"/>
      <c r="R47" s="189"/>
      <c r="S47" s="189"/>
      <c r="T47" s="189"/>
      <c r="U47" s="292"/>
      <c r="V47" s="292"/>
      <c r="W47" s="292"/>
      <c r="X47"/>
      <c r="Y47"/>
    </row>
    <row r="48" spans="1:25" ht="16.149999999999999" customHeight="1" x14ac:dyDescent="0.25">
      <c r="A48" s="167"/>
      <c r="B48" s="96"/>
      <c r="C48" s="96"/>
      <c r="D48" s="96"/>
      <c r="E48" s="96"/>
      <c r="F48" s="96"/>
      <c r="G48" s="96"/>
      <c r="H48" s="108"/>
      <c r="I48" s="108"/>
      <c r="J48" s="108"/>
      <c r="K48" s="96"/>
      <c r="L48" s="96"/>
      <c r="M48" s="96"/>
      <c r="N48" s="96"/>
      <c r="O48" s="96"/>
      <c r="P48" s="189"/>
      <c r="Q48" s="189"/>
      <c r="R48" s="189"/>
      <c r="S48" s="189"/>
      <c r="T48" s="189"/>
      <c r="U48" s="290"/>
      <c r="V48" s="290"/>
      <c r="W48" s="290"/>
    </row>
    <row r="49" spans="1:23" ht="16.149999999999999" customHeight="1" x14ac:dyDescent="0.25">
      <c r="A49" s="167"/>
      <c r="B49" s="223"/>
      <c r="C49" s="208" t="s">
        <v>235</v>
      </c>
      <c r="D49" s="224"/>
      <c r="E49" s="96"/>
      <c r="F49" s="96"/>
      <c r="G49" s="96"/>
      <c r="H49" s="108"/>
      <c r="I49" s="108"/>
      <c r="J49" s="108"/>
      <c r="K49" s="108"/>
      <c r="L49" s="108"/>
      <c r="M49" s="108"/>
      <c r="N49" s="108"/>
      <c r="O49" s="108"/>
      <c r="P49" s="189"/>
      <c r="Q49" s="189"/>
      <c r="R49" s="189"/>
      <c r="S49" s="189"/>
      <c r="T49" s="189"/>
      <c r="U49" s="290"/>
      <c r="V49" s="290"/>
      <c r="W49" s="290"/>
    </row>
    <row r="50" spans="1:23" ht="16.149999999999999" customHeight="1" x14ac:dyDescent="0.25">
      <c r="A50" s="167"/>
      <c r="B50" s="108"/>
      <c r="C50" s="96"/>
      <c r="D50" s="96"/>
      <c r="E50" s="96"/>
      <c r="F50" s="96"/>
      <c r="G50" s="96"/>
      <c r="H50" s="108"/>
      <c r="I50" s="108"/>
      <c r="J50" s="108"/>
      <c r="K50" s="108"/>
      <c r="L50" s="108"/>
      <c r="M50" s="108"/>
      <c r="N50" s="108"/>
      <c r="O50" s="108"/>
      <c r="P50" s="189"/>
      <c r="Q50" s="189"/>
      <c r="R50" s="189"/>
      <c r="S50" s="189"/>
      <c r="T50" s="189"/>
      <c r="U50" s="290"/>
      <c r="V50" s="290"/>
      <c r="W50" s="290"/>
    </row>
    <row r="51" spans="1:23" ht="25.15" customHeight="1" x14ac:dyDescent="0.25">
      <c r="A51" s="167"/>
      <c r="B51" s="108"/>
      <c r="C51" s="96"/>
      <c r="D51" s="365" t="s">
        <v>147</v>
      </c>
      <c r="E51" s="367" t="s">
        <v>226</v>
      </c>
      <c r="F51" s="367"/>
      <c r="G51" s="365" t="s">
        <v>148</v>
      </c>
      <c r="H51" s="365"/>
      <c r="I51" s="367" t="s">
        <v>227</v>
      </c>
      <c r="J51" s="369" t="s">
        <v>149</v>
      </c>
      <c r="K51" s="371" t="s">
        <v>228</v>
      </c>
      <c r="L51" s="372"/>
      <c r="M51" s="376" t="s">
        <v>161</v>
      </c>
      <c r="N51" s="376"/>
      <c r="O51" s="376"/>
      <c r="P51" s="189"/>
      <c r="Q51" s="108"/>
      <c r="R51" s="189"/>
      <c r="S51" s="189"/>
      <c r="T51" s="189"/>
      <c r="U51" s="290"/>
      <c r="V51" s="290"/>
      <c r="W51" s="290"/>
    </row>
    <row r="52" spans="1:23" ht="16.149999999999999" customHeight="1" thickBot="1" x14ac:dyDescent="0.3">
      <c r="A52" s="167"/>
      <c r="B52" s="108"/>
      <c r="C52" s="96"/>
      <c r="D52" s="366"/>
      <c r="E52" s="368"/>
      <c r="F52" s="368"/>
      <c r="G52" s="366"/>
      <c r="H52" s="366"/>
      <c r="I52" s="368"/>
      <c r="J52" s="370"/>
      <c r="K52" s="373"/>
      <c r="L52" s="374"/>
      <c r="M52" s="376"/>
      <c r="N52" s="376"/>
      <c r="O52" s="376"/>
      <c r="P52" s="189"/>
      <c r="Q52" s="108"/>
      <c r="R52" s="189"/>
      <c r="S52" s="189"/>
      <c r="T52" s="189"/>
      <c r="U52" s="290"/>
      <c r="V52" s="290"/>
      <c r="W52" s="290"/>
    </row>
    <row r="53" spans="1:23" ht="37.9" customHeight="1" thickBot="1" x14ac:dyDescent="0.35">
      <c r="A53" s="167"/>
      <c r="B53" s="98"/>
      <c r="C53" s="198" t="s">
        <v>124</v>
      </c>
      <c r="D53" s="274"/>
      <c r="E53" s="358"/>
      <c r="F53" s="358"/>
      <c r="G53" s="361"/>
      <c r="H53" s="361"/>
      <c r="I53" s="275"/>
      <c r="J53" s="275"/>
      <c r="K53" s="362">
        <f>IF(ISERROR(SEARCH("Inventurmethode",K44)),0,IFERROR(IF(OR(AND(D53=EOMONTH(D53,0),G53=EOMONTH(G53,0)),DAY(D53)=DAY(G53)),((YEAR(G53)-YEAR(D53))*12)-((MONTH(D53))-MONTH(G53)),IF(AND(DAY(D53)=1,G53=EOMONTH(G53,0)),((YEAR(G53)-YEAR(D53))*12)-((MONTH(D53))-MONTH(G53)-1),ROUND((DATEDIF(D53,G53,"d")/365*12),2))),0))</f>
        <v>0</v>
      </c>
      <c r="L53" s="363"/>
      <c r="M53" s="379" t="str">
        <f>IF(ISERROR(SEARCH("Inventurmethode",K44))=TRUE,0,IF(OR(ISBLANK(D53),ISBLANK(E53),ISBLANK(G53),ISBLANK(I53),ISBLANK(J53)),"fehlende Angaben!",IF(G53&lt;=D53,"Datum letzte Inventur liegt vor vorletzter Inventur!",IF(ISERROR((E53+J53-I53)/K53)=TRUE,"falsche Angaben!",IF(((E53+J53-I53)/K53)&lt;0,"Es ist ein positiver Monatsverbrauch anzugeben!",IF(((E53+J53-I53)/K53)&gt;(K21/6),(K21/6),((E53+J53-I53)/K53)))))))</f>
        <v>fehlende Angaben!</v>
      </c>
      <c r="N53" s="379"/>
      <c r="O53" s="379"/>
      <c r="P53" s="296" t="s">
        <v>4</v>
      </c>
      <c r="Q53" s="295" t="str">
        <f>IFERROR(IF(((E53+J53-I53)/K53)&gt;($K$21/6),"Die förderungsfähige Menge wird mit jener Menge begrenzt, die in der beantragten Förderperiode bezogen wurde!",""),"")</f>
        <v/>
      </c>
      <c r="R53" s="189"/>
      <c r="S53" s="189"/>
      <c r="T53" s="189"/>
      <c r="U53" s="293"/>
      <c r="V53" s="290"/>
      <c r="W53" s="294">
        <f>IFERROR(IF(((E53+J53-I53)/K53)&lt;=($K$21/6),1,0),1)</f>
        <v>1</v>
      </c>
    </row>
    <row r="54" spans="1:23" ht="37.9" customHeight="1" thickBot="1" x14ac:dyDescent="0.35">
      <c r="A54" s="167"/>
      <c r="B54" s="98"/>
      <c r="C54" s="199" t="s">
        <v>118</v>
      </c>
      <c r="D54" s="274"/>
      <c r="E54" s="344"/>
      <c r="F54" s="344"/>
      <c r="G54" s="361"/>
      <c r="H54" s="361"/>
      <c r="I54" s="276"/>
      <c r="J54" s="276"/>
      <c r="K54" s="362">
        <f t="shared" ref="K54:K55" si="0">IF(ISERROR(SEARCH("Inventurmethode",K45)),0,IFERROR(IF(OR(AND(D54=EOMONTH(D54,0),G54=EOMONTH(G54,0)),DAY(D54)=DAY(G54)),((YEAR(G54)-YEAR(D54))*12)-((MONTH(D54))-MONTH(G54)),IF(AND(DAY(D54)=1,G54=EOMONTH(G54,0)),((YEAR(G54)-YEAR(D54))*12)-((MONTH(D54))-MONTH(G54)-1),ROUND((DATEDIF(D54,G54,"d")/365*12),2))),0))</f>
        <v>0</v>
      </c>
      <c r="L54" s="363"/>
      <c r="M54" s="364" t="str">
        <f>IF(ISERROR(SEARCH("Inventurmethode",K45))=TRUE,0,IF(OR(ISBLANK(D54),ISBLANK(E54),ISBLANK(G54),ISBLANK(I54),ISBLANK(J54)),"fehlende Angaben!",IF(G54&lt;=D54,"Datum letzte Inventur liegt vor vorletzter Inventur!",IF(ISERROR((E54+J54-I54)/K54)=TRUE,"falsche Angaben!",IF(((E54+J54-I54)/K54)&lt;0,"Es ist ein positiver Monatsverbrauch anzugeben!",IF(((E54+J54-I54)/K54)&gt;(K24/6),(K24/6),((E54+J54-I54)/K54)))))))</f>
        <v>fehlende Angaben!</v>
      </c>
      <c r="N54" s="364"/>
      <c r="O54" s="364"/>
      <c r="P54" s="296" t="s">
        <v>4</v>
      </c>
      <c r="Q54" s="295" t="str">
        <f>IFERROR(IF(((E54+J54-I54)/K54)&gt;($K$24/6),"Die förderungsfähige Menge wird mit jener Menge begrenzt, die in der beantragten Förderperiode bezogen wurde!",""),"")</f>
        <v/>
      </c>
      <c r="R54" s="189"/>
      <c r="S54" s="189"/>
      <c r="T54" s="189"/>
      <c r="U54" s="290"/>
      <c r="V54" s="290"/>
      <c r="W54" s="294">
        <f>IFERROR(IF(((E54+J54-I54)/K54)&lt;=($K$24/6),1,0),1)</f>
        <v>1</v>
      </c>
    </row>
    <row r="55" spans="1:23" ht="37.9" customHeight="1" thickBot="1" x14ac:dyDescent="0.35">
      <c r="A55" s="167"/>
      <c r="B55" s="98"/>
      <c r="C55" s="200" t="s">
        <v>119</v>
      </c>
      <c r="D55" s="274"/>
      <c r="E55" s="344"/>
      <c r="F55" s="344"/>
      <c r="G55" s="361"/>
      <c r="H55" s="361"/>
      <c r="I55" s="276"/>
      <c r="J55" s="276"/>
      <c r="K55" s="362">
        <f t="shared" si="0"/>
        <v>0</v>
      </c>
      <c r="L55" s="363"/>
      <c r="M55" s="364" t="str">
        <f>IF(ISERROR(SEARCH("Inventurmethode",K46))=TRUE,0,IF(OR(ISBLANK(D55),ISBLANK(E55),ISBLANK(G55),ISBLANK(I55),ISBLANK(J55)),"fehlende Angaben!",IF(G55&lt;=D55,"Datum letzte Inventur liegt vor vorletzter Inventur!",IF(ISERROR((E55+J55-I55)/K55)=TRUE,"falsche Angaben!",IF(((E55+J55-I55)/K55)&lt;0,"Es ist ein positiver Monatsverbrauch anzugeben!",IF(((E55+J55-I55)/K55)&gt;(K25/6),(K25/6),((E55+J55-I55)/K55)))))))</f>
        <v>fehlende Angaben!</v>
      </c>
      <c r="N55" s="364"/>
      <c r="O55" s="364"/>
      <c r="P55" s="296" t="s">
        <v>4</v>
      </c>
      <c r="Q55" s="295" t="str">
        <f>IFERROR(IF(((E55+J55-I55)/K55)&gt;($K$25/6),"Die förderungsfähige Menge wird mit jener Menge begrenzt, die in der beantragten Förderperiode bezogen wurde!",""),"")</f>
        <v/>
      </c>
      <c r="R55" s="167"/>
      <c r="S55" s="189"/>
      <c r="T55" s="189"/>
      <c r="U55" s="290"/>
      <c r="V55" s="290"/>
      <c r="W55" s="294">
        <f>IFERROR(IF(((E55+J55-I55)/K55)&lt;=($K$25/6),1,0),1)</f>
        <v>1</v>
      </c>
    </row>
    <row r="56" spans="1:23" ht="19.899999999999999" customHeight="1" x14ac:dyDescent="0.25">
      <c r="A56" s="167"/>
      <c r="B56" s="98"/>
      <c r="C56" s="98"/>
      <c r="D56" s="98"/>
      <c r="E56" s="98"/>
      <c r="F56" s="98"/>
      <c r="G56" s="98"/>
      <c r="H56" s="98"/>
      <c r="I56" s="98"/>
      <c r="J56" s="98"/>
      <c r="K56" s="98"/>
      <c r="L56" s="98"/>
      <c r="M56" s="98"/>
      <c r="N56" s="98"/>
      <c r="O56" s="98"/>
      <c r="P56" s="108"/>
      <c r="Q56" s="201"/>
      <c r="R56" s="108"/>
      <c r="S56" s="189"/>
      <c r="T56" s="189"/>
      <c r="U56" s="290"/>
      <c r="V56" s="290"/>
      <c r="W56" s="294"/>
    </row>
    <row r="57" spans="1:23" ht="19.899999999999999" customHeight="1" x14ac:dyDescent="0.25">
      <c r="A57" s="167"/>
      <c r="B57" s="98"/>
      <c r="C57" s="98"/>
      <c r="D57" s="98"/>
      <c r="E57" s="98"/>
      <c r="F57" s="98"/>
      <c r="G57" s="98"/>
      <c r="H57" s="98"/>
      <c r="I57" s="98"/>
      <c r="J57" s="98"/>
      <c r="K57" s="98"/>
      <c r="L57" s="98"/>
      <c r="M57" s="98"/>
      <c r="N57" s="98"/>
      <c r="O57" s="98"/>
      <c r="P57" s="108"/>
      <c r="Q57" s="98"/>
      <c r="R57" s="98"/>
      <c r="S57" s="98"/>
      <c r="T57" s="98"/>
      <c r="U57" s="96"/>
      <c r="V57" s="96"/>
      <c r="W57" s="123"/>
    </row>
    <row r="58" spans="1:23" ht="19.899999999999999" customHeight="1" x14ac:dyDescent="0.25">
      <c r="A58" s="167"/>
      <c r="B58" s="108"/>
      <c r="C58" s="208" t="s">
        <v>236</v>
      </c>
      <c r="D58" s="96"/>
      <c r="E58" s="96"/>
      <c r="F58" s="96"/>
      <c r="G58" s="96"/>
      <c r="H58" s="108"/>
      <c r="I58" s="108"/>
      <c r="J58" s="108"/>
      <c r="K58" s="108"/>
      <c r="L58" s="108"/>
      <c r="M58" s="108"/>
      <c r="N58" s="108"/>
      <c r="O58" s="108"/>
      <c r="P58" s="189"/>
      <c r="Q58" s="98"/>
      <c r="R58" s="98"/>
      <c r="S58" s="98"/>
      <c r="T58" s="98"/>
      <c r="U58" s="96"/>
      <c r="V58" s="96"/>
      <c r="W58" s="123"/>
    </row>
    <row r="59" spans="1:23" ht="19.899999999999999" customHeight="1" x14ac:dyDescent="0.25">
      <c r="A59" s="167"/>
      <c r="B59" s="108"/>
      <c r="C59" s="225"/>
      <c r="D59" s="96"/>
      <c r="E59" s="96"/>
      <c r="F59" s="96"/>
      <c r="G59" s="96"/>
      <c r="H59" s="108"/>
      <c r="I59" s="108"/>
      <c r="J59" s="108"/>
      <c r="K59" s="108"/>
      <c r="L59" s="108"/>
      <c r="M59" s="98"/>
      <c r="N59" s="108"/>
      <c r="O59" s="108"/>
      <c r="P59" s="189"/>
      <c r="Q59" s="98"/>
      <c r="R59" s="98"/>
      <c r="S59" s="98"/>
      <c r="T59" s="98"/>
      <c r="U59" s="96"/>
      <c r="V59" s="96"/>
      <c r="W59" s="123"/>
    </row>
    <row r="60" spans="1:23" ht="19.899999999999999" customHeight="1" x14ac:dyDescent="0.25">
      <c r="A60" s="167"/>
      <c r="B60" s="108"/>
      <c r="C60" s="225"/>
      <c r="D60" s="339" t="s">
        <v>150</v>
      </c>
      <c r="E60" s="339"/>
      <c r="F60" s="339"/>
      <c r="G60" s="339"/>
      <c r="H60" s="339"/>
      <c r="I60" s="339"/>
      <c r="J60" s="339"/>
      <c r="K60" s="375" t="s">
        <v>151</v>
      </c>
      <c r="L60" s="375"/>
      <c r="M60" s="376" t="s">
        <v>152</v>
      </c>
      <c r="N60" s="376"/>
      <c r="O60" s="376"/>
      <c r="P60" s="189"/>
      <c r="Q60" s="98"/>
      <c r="R60" s="98"/>
      <c r="S60" s="98"/>
      <c r="T60" s="98"/>
      <c r="U60" s="96"/>
      <c r="V60" s="96"/>
      <c r="W60" s="123"/>
    </row>
    <row r="61" spans="1:23" ht="19.899999999999999" customHeight="1" thickBot="1" x14ac:dyDescent="0.3">
      <c r="A61" s="167"/>
      <c r="B61" s="98"/>
      <c r="C61" s="98"/>
      <c r="D61" s="377" t="str">
        <f>"Jahr " &amp; par_Jahr2-3</f>
        <v>Jahr 2020</v>
      </c>
      <c r="E61" s="378"/>
      <c r="F61" s="377" t="str">
        <f>"Jahr " &amp; par_Jahr2-2</f>
        <v>Jahr 2021</v>
      </c>
      <c r="G61" s="378"/>
      <c r="H61" s="377" t="str">
        <f>"Jahr " &amp; par_Jahr2-1</f>
        <v>Jahr 2022</v>
      </c>
      <c r="I61" s="378"/>
      <c r="J61" s="202" t="s">
        <v>153</v>
      </c>
      <c r="K61" s="375"/>
      <c r="L61" s="375"/>
      <c r="M61" s="376"/>
      <c r="N61" s="376"/>
      <c r="O61" s="376"/>
      <c r="P61" s="108"/>
      <c r="Q61" s="98"/>
      <c r="R61" s="98"/>
      <c r="S61" s="98"/>
      <c r="T61" s="98"/>
      <c r="U61" s="96"/>
      <c r="V61" s="96"/>
      <c r="W61" s="123"/>
    </row>
    <row r="62" spans="1:23" ht="37.9" customHeight="1" thickBot="1" x14ac:dyDescent="0.35">
      <c r="A62" s="167"/>
      <c r="B62" s="98"/>
      <c r="C62" s="198" t="s">
        <v>124</v>
      </c>
      <c r="D62" s="358"/>
      <c r="E62" s="358"/>
      <c r="F62" s="358"/>
      <c r="G62" s="358"/>
      <c r="H62" s="358"/>
      <c r="I62" s="358"/>
      <c r="J62" s="226">
        <f>SUM(D62:I62)</f>
        <v>0</v>
      </c>
      <c r="K62" s="359">
        <f>IF(ISERROR(SEARCH("aus Einkäufen der",$K44)),0,36)</f>
        <v>0</v>
      </c>
      <c r="L62" s="359"/>
      <c r="M62" s="360">
        <f>IF(ISERROR(SEARCH("Einkäufen",K44))=TRUE,0,IF(AND(ISBLANK(D62),ISBLANK(F62),ISBLANK(H62))=TRUE,"Bitte Jahres-Einkaufsmengen eintragen!",IF(OR(ISBLANK(D62),ISBLANK(F62),ISBLANK(H62))=TRUE,"Es fehlt mindestens eine Jahres-Einkaufsmenge!",IF((J62/K62)&gt;($K$21/6),($K$21/6),(J62/K62)))))</f>
        <v>0</v>
      </c>
      <c r="N62" s="360"/>
      <c r="O62" s="360"/>
      <c r="P62" s="296" t="s">
        <v>4</v>
      </c>
      <c r="Q62" s="295" t="str">
        <f>IFERROR(IF(((E62+J62-I62)/K62)&gt;($K$21/6),"Die förderungsfähige Menge wird mit jener Menge begrenzt, die in der beantragten Förderperiode bezogen wurde!",""),"")</f>
        <v/>
      </c>
      <c r="R62" s="189"/>
      <c r="S62" s="189"/>
      <c r="T62" s="189"/>
      <c r="U62" s="293"/>
      <c r="V62" s="290"/>
      <c r="W62" s="294">
        <f>IFERROR(IF(((E62+J62-I62)/K62)&lt;=($K$21/6),1,0),1)</f>
        <v>1</v>
      </c>
    </row>
    <row r="63" spans="1:23" ht="37.9" customHeight="1" thickBot="1" x14ac:dyDescent="0.35">
      <c r="A63" s="167"/>
      <c r="B63" s="98"/>
      <c r="C63" s="199" t="s">
        <v>118</v>
      </c>
      <c r="D63" s="344"/>
      <c r="E63" s="344"/>
      <c r="F63" s="344"/>
      <c r="G63" s="344"/>
      <c r="H63" s="344"/>
      <c r="I63" s="344"/>
      <c r="J63" s="253">
        <f t="shared" ref="J63:J64" si="1">SUM(D63:I63)</f>
        <v>0</v>
      </c>
      <c r="K63" s="345">
        <f t="shared" ref="K63:K64" si="2">IF(ISERROR(SEARCH("aus Einkäufen der",$K45)),0,36)</f>
        <v>0</v>
      </c>
      <c r="L63" s="346"/>
      <c r="M63" s="347">
        <f>IF(ISERROR(SEARCH("Einkäufen",K45))=TRUE,0,IF(AND(ISBLANK(D63),ISBLANK(F63),ISBLANK(H63))=TRUE,"Bitte Jahres-Einkaufsmengen eintragen!",IF(OR(ISBLANK(D63),ISBLANK(F63),ISBLANK(H63))=TRUE,"Es fehlt mindestens eine Jahres-Einkaufsmenge!",IF((J63/K63)&gt;($K$24/6),($K$24/6),(J63/K63)))))</f>
        <v>0</v>
      </c>
      <c r="N63" s="347"/>
      <c r="O63" s="347"/>
      <c r="P63" s="296" t="s">
        <v>4</v>
      </c>
      <c r="Q63" s="295" t="str">
        <f>IFERROR(IF(((E63+J63-I63)/K63)&gt;($K$24/6),"Die förderungsfähige Menge wird mit jener Menge begrenzt, die in der beantragten Förderperiode bezogen wurde!",""),"")</f>
        <v/>
      </c>
      <c r="R63" s="189"/>
      <c r="S63" s="189"/>
      <c r="T63" s="189"/>
      <c r="U63" s="290"/>
      <c r="V63" s="290"/>
      <c r="W63" s="294">
        <f>IFERROR(IF(((E63+J63-I63)/K63)&lt;=($K$24/6),1,0),1)</f>
        <v>1</v>
      </c>
    </row>
    <row r="64" spans="1:23" ht="37.9" customHeight="1" thickBot="1" x14ac:dyDescent="0.35">
      <c r="A64" s="167"/>
      <c r="B64" s="98"/>
      <c r="C64" s="200" t="s">
        <v>119</v>
      </c>
      <c r="D64" s="344"/>
      <c r="E64" s="344"/>
      <c r="F64" s="344"/>
      <c r="G64" s="344"/>
      <c r="H64" s="344"/>
      <c r="I64" s="344"/>
      <c r="J64" s="253">
        <f t="shared" si="1"/>
        <v>0</v>
      </c>
      <c r="K64" s="345">
        <f t="shared" si="2"/>
        <v>0</v>
      </c>
      <c r="L64" s="346"/>
      <c r="M64" s="347">
        <f>IF(ISERROR(SEARCH("Einkäufen",K46))=TRUE,0,IF(AND(ISBLANK(D64),ISBLANK(F64),ISBLANK(H64))=TRUE,"Bitte Jahres-Einkaufsmengen eintragen!",IF(OR(ISBLANK(D64),ISBLANK(F64),ISBLANK(H64))=TRUE,"Es fehlt mindestens eine Jahres-Einkaufsmenge!",IF((J64/K64)&gt;($K$25/6),($K$25/6),(J64/K64)))))</f>
        <v>0</v>
      </c>
      <c r="N64" s="347"/>
      <c r="O64" s="347"/>
      <c r="P64" s="296" t="s">
        <v>4</v>
      </c>
      <c r="Q64" s="295" t="str">
        <f>IFERROR(IF(((E64+J64-I64)/K64)&gt;($K$25/6),"Die förderungsfähige Menge wird mit jener Menge begrenzt, die in der beantragten Förderperiode bezogen wurde!",""),"")</f>
        <v/>
      </c>
      <c r="R64" s="167"/>
      <c r="S64" s="189"/>
      <c r="T64" s="189"/>
      <c r="U64" s="290"/>
      <c r="V64" s="290"/>
      <c r="W64" s="294">
        <f>IFERROR(IF(((E64+J64-I64)/K64)&lt;=($K$25/6),1,0),1)</f>
        <v>1</v>
      </c>
    </row>
    <row r="65" spans="1:23" ht="19.899999999999999" customHeight="1" x14ac:dyDescent="0.25">
      <c r="A65" s="96"/>
      <c r="B65" s="98"/>
      <c r="C65" s="98"/>
      <c r="D65" s="98"/>
      <c r="E65" s="98"/>
      <c r="F65" s="98"/>
      <c r="G65" s="98"/>
      <c r="H65" s="98"/>
      <c r="I65" s="98"/>
      <c r="J65" s="98"/>
      <c r="K65" s="98"/>
      <c r="L65" s="98"/>
      <c r="M65" s="98"/>
      <c r="N65" s="98"/>
      <c r="O65" s="98"/>
      <c r="P65" s="108"/>
      <c r="Q65" s="98"/>
      <c r="R65" s="98"/>
      <c r="S65" s="98"/>
      <c r="T65" s="98"/>
      <c r="U65" s="96"/>
      <c r="V65" s="96"/>
      <c r="W65" s="96"/>
    </row>
    <row r="66" spans="1:23" ht="19.899999999999999" customHeight="1" x14ac:dyDescent="0.25">
      <c r="A66" s="96"/>
      <c r="B66" s="98"/>
      <c r="C66" s="98"/>
      <c r="D66" s="98"/>
      <c r="E66" s="98"/>
      <c r="F66" s="98"/>
      <c r="G66" s="98"/>
      <c r="H66" s="98"/>
      <c r="I66" s="98"/>
      <c r="J66" s="98"/>
      <c r="K66" s="98"/>
      <c r="L66" s="98"/>
      <c r="M66" s="98"/>
      <c r="N66" s="98"/>
      <c r="O66" s="98"/>
      <c r="P66" s="108"/>
      <c r="Q66" s="98"/>
      <c r="R66" s="98"/>
      <c r="S66" s="98"/>
      <c r="T66" s="98"/>
      <c r="U66" s="96"/>
      <c r="V66" s="96"/>
      <c r="W66" s="96"/>
    </row>
    <row r="67" spans="1:23" ht="9.6" customHeight="1" x14ac:dyDescent="0.25">
      <c r="A67" s="167"/>
      <c r="B67" s="108"/>
      <c r="C67" s="96"/>
      <c r="D67" s="96"/>
      <c r="E67" s="96"/>
      <c r="F67" s="96"/>
      <c r="G67" s="96"/>
      <c r="H67" s="108"/>
      <c r="I67" s="108"/>
      <c r="J67" s="108"/>
      <c r="K67" s="108"/>
      <c r="L67" s="108"/>
      <c r="M67" s="108"/>
      <c r="N67" s="108"/>
      <c r="O67" s="108"/>
      <c r="P67" s="189"/>
      <c r="Q67" s="168"/>
      <c r="R67" s="168"/>
      <c r="S67" s="168"/>
      <c r="T67" s="168"/>
      <c r="U67" s="290"/>
      <c r="V67" s="290"/>
      <c r="W67" s="290"/>
    </row>
  </sheetData>
  <sheetProtection algorithmName="SHA-512" hashValue="dxTBPPdbAFxeAFgio8UqFu8EtvrXTP3FhD3wWvOs7SXdW4uyMniXMAiCYO7/YpDMrxuB8BlT9OKnSdqEOIx6sQ==" saltValue="J8GGuNstvGzn2gFn+t2IFQ==" spinCount="100000" sheet="1" objects="1" scenarios="1"/>
  <mergeCells count="113">
    <mergeCell ref="M17:N17"/>
    <mergeCell ref="P17:Q17"/>
    <mergeCell ref="B10:C11"/>
    <mergeCell ref="D10:D11"/>
    <mergeCell ref="E10:G11"/>
    <mergeCell ref="H10:H11"/>
    <mergeCell ref="B12:C12"/>
    <mergeCell ref="E12:G12"/>
    <mergeCell ref="M20:O20"/>
    <mergeCell ref="K21:L21"/>
    <mergeCell ref="M21:O21"/>
    <mergeCell ref="C19:C25"/>
    <mergeCell ref="E19:F19"/>
    <mergeCell ref="D20:D21"/>
    <mergeCell ref="E20:F21"/>
    <mergeCell ref="H20:I20"/>
    <mergeCell ref="K20:L20"/>
    <mergeCell ref="D22:F23"/>
    <mergeCell ref="K23:L23"/>
    <mergeCell ref="R24:S24"/>
    <mergeCell ref="E25:F25"/>
    <mergeCell ref="H25:I25"/>
    <mergeCell ref="K25:L25"/>
    <mergeCell ref="M25:O25"/>
    <mergeCell ref="M23:O23"/>
    <mergeCell ref="E24:F24"/>
    <mergeCell ref="H24:I24"/>
    <mergeCell ref="K24:L24"/>
    <mergeCell ref="M24:O24"/>
    <mergeCell ref="K36:L36"/>
    <mergeCell ref="M36:O36"/>
    <mergeCell ref="H37:I37"/>
    <mergeCell ref="K37:L37"/>
    <mergeCell ref="M37:O37"/>
    <mergeCell ref="H38:I38"/>
    <mergeCell ref="K38:L38"/>
    <mergeCell ref="K33:L33"/>
    <mergeCell ref="M33:O33"/>
    <mergeCell ref="H34:I34"/>
    <mergeCell ref="K34:L34"/>
    <mergeCell ref="M34:O34"/>
    <mergeCell ref="H33:I33"/>
    <mergeCell ref="M38:O38"/>
    <mergeCell ref="C43:C46"/>
    <mergeCell ref="E43:F43"/>
    <mergeCell ref="E44:F44"/>
    <mergeCell ref="H44:I44"/>
    <mergeCell ref="K44:M44"/>
    <mergeCell ref="E45:F45"/>
    <mergeCell ref="H45:I45"/>
    <mergeCell ref="K45:M45"/>
    <mergeCell ref="E46:F46"/>
    <mergeCell ref="H46:I46"/>
    <mergeCell ref="K46:M46"/>
    <mergeCell ref="D51:D52"/>
    <mergeCell ref="E51:F52"/>
    <mergeCell ref="G51:H52"/>
    <mergeCell ref="I51:I52"/>
    <mergeCell ref="J51:J52"/>
    <mergeCell ref="K51:L52"/>
    <mergeCell ref="K60:L61"/>
    <mergeCell ref="M60:O61"/>
    <mergeCell ref="D61:E61"/>
    <mergeCell ref="F61:G61"/>
    <mergeCell ref="H61:I61"/>
    <mergeCell ref="M51:O52"/>
    <mergeCell ref="E53:F53"/>
    <mergeCell ref="G53:H53"/>
    <mergeCell ref="K53:L53"/>
    <mergeCell ref="M53:O53"/>
    <mergeCell ref="E54:F54"/>
    <mergeCell ref="G54:H54"/>
    <mergeCell ref="K54:L54"/>
    <mergeCell ref="M54:O54"/>
    <mergeCell ref="D64:E64"/>
    <mergeCell ref="F64:G64"/>
    <mergeCell ref="H64:I64"/>
    <mergeCell ref="K64:L64"/>
    <mergeCell ref="M64:O64"/>
    <mergeCell ref="D33:D34"/>
    <mergeCell ref="E33:F34"/>
    <mergeCell ref="E37:F37"/>
    <mergeCell ref="E38:F38"/>
    <mergeCell ref="D62:E62"/>
    <mergeCell ref="F62:G62"/>
    <mergeCell ref="H62:I62"/>
    <mergeCell ref="K62:L62"/>
    <mergeCell ref="M62:O62"/>
    <mergeCell ref="D63:E63"/>
    <mergeCell ref="F63:G63"/>
    <mergeCell ref="H63:I63"/>
    <mergeCell ref="K63:L63"/>
    <mergeCell ref="M63:O63"/>
    <mergeCell ref="E55:F55"/>
    <mergeCell ref="G55:H55"/>
    <mergeCell ref="K55:L55"/>
    <mergeCell ref="M55:O55"/>
    <mergeCell ref="D60:J60"/>
    <mergeCell ref="H4:I4"/>
    <mergeCell ref="H28:I28"/>
    <mergeCell ref="H29:I29"/>
    <mergeCell ref="H30:I30"/>
    <mergeCell ref="C28:F28"/>
    <mergeCell ref="C29:F30"/>
    <mergeCell ref="D35:F35"/>
    <mergeCell ref="D36:F36"/>
    <mergeCell ref="E32:F32"/>
    <mergeCell ref="C32:C38"/>
    <mergeCell ref="B13:C13"/>
    <mergeCell ref="E13:G14"/>
    <mergeCell ref="H13:H14"/>
    <mergeCell ref="B14:C14"/>
    <mergeCell ref="H21:I21"/>
  </mergeCells>
  <conditionalFormatting sqref="C53:O55">
    <cfRule type="expression" dxfId="30" priority="23">
      <formula>ISERROR(SEARCH("Inventurmethode",$K44))</formula>
    </cfRule>
  </conditionalFormatting>
  <conditionalFormatting sqref="C62:O64">
    <cfRule type="expression" dxfId="29" priority="22">
      <formula>ISERROR(SEARCH("aus Einkäufen der",$K44))</formula>
    </cfRule>
  </conditionalFormatting>
  <conditionalFormatting sqref="D20:F21 H20:S21 H28:J28 D33:F34 H33:S34 D44:F44 H44:M44 C53:O53 C62:O62 M54:O55 M63:O64">
    <cfRule type="expression" dxfId="28" priority="14">
      <formula>$D$12&lt;&gt;"JA"</formula>
    </cfRule>
  </conditionalFormatting>
  <conditionalFormatting sqref="D24:F24 H24:Q24 H29:J29 D37:F37 H37:Q37 D45:F45 H45:M45 C54:O54 C63:O63">
    <cfRule type="expression" dxfId="27" priority="13">
      <formula>$D$13&lt;&gt;"JA"</formula>
    </cfRule>
  </conditionalFormatting>
  <conditionalFormatting sqref="D25:F25 H25:Q25 H30:J30 D38:F38 H38:Q38 D46:F46 H46:M46 C55:O55 C64:O64">
    <cfRule type="expression" dxfId="26" priority="12">
      <formula>$D$14&lt;&gt;"JA"</formula>
    </cfRule>
  </conditionalFormatting>
  <conditionalFormatting sqref="K34:O34">
    <cfRule type="expression" dxfId="25" priority="6">
      <formula>$J$28&lt;&gt;"JA"</formula>
    </cfRule>
  </conditionalFormatting>
  <conditionalFormatting sqref="K37:O37">
    <cfRule type="expression" dxfId="24" priority="3">
      <formula>AND($J$29&lt;&gt;"JA",$J$30&lt;&gt;"JA")</formula>
    </cfRule>
    <cfRule type="expression" dxfId="23" priority="5">
      <formula>$J$29&lt;&gt;"JA"</formula>
    </cfRule>
  </conditionalFormatting>
  <conditionalFormatting sqref="K38:O38">
    <cfRule type="expression" dxfId="22" priority="4">
      <formula>$J$30&lt;&gt;"JA"</formula>
    </cfRule>
  </conditionalFormatting>
  <conditionalFormatting sqref="P53:P55">
    <cfRule type="expression" dxfId="21" priority="2">
      <formula>$W53=1</formula>
    </cfRule>
  </conditionalFormatting>
  <conditionalFormatting sqref="P62:P64">
    <cfRule type="expression" dxfId="20" priority="1">
      <formula>$W62=1</formula>
    </cfRule>
  </conditionalFormatting>
  <dataValidations count="6">
    <dataValidation type="list" allowBlank="1" showInputMessage="1" showErrorMessage="1" sqref="J12:J14 H13:H14" xr:uid="{28724297-D1EE-475D-AACD-E5F33B83465D}">
      <formula1>"NEIN,JA"</formula1>
    </dataValidation>
    <dataValidation type="list" allowBlank="1" showInputMessage="1" showErrorMessage="1" sqref="J28:J30 H12" xr:uid="{93A7B86E-1B46-4696-81EF-B7FAD86A5F62}">
      <formula1>"JA,NEIN"</formula1>
    </dataValidation>
    <dataValidation type="date" operator="greaterThanOrEqual" allowBlank="1" showInputMessage="1" showErrorMessage="1" errorTitle="Bitte korrektes Datum eintragen!" error="Es ist ein Datum nach dem 01.01.2021 einzutragen. " sqref="D53:D55 G53:H55" xr:uid="{69410D7B-2A09-4CF0-A95F-43DDC8A40EF0}">
      <formula1>44197</formula1>
    </dataValidation>
    <dataValidation type="list" allowBlank="1" showInputMessage="1" showErrorMessage="1" sqref="K39 G40:G47 K31" xr:uid="{DCD0039D-D0B1-4F4F-9F2C-986285D44278}">
      <formula1>Lastprofilzähler</formula1>
    </dataValidation>
    <dataValidation type="list" allowBlank="1" showInputMessage="1" showErrorMessage="1" sqref="K44:M46" xr:uid="{0E995BF2-785E-46B1-A6A3-039FF98BB56B}">
      <formula1>Auswahl_Methode</formula1>
    </dataValidation>
    <dataValidation type="list" showInputMessage="1" showErrorMessage="1" errorTitle="Das Feld muss JA oder NEIN sein" error="Das Feld muss JA oder NEIN enthalten!" sqref="D12:D14" xr:uid="{A5250008-BA95-4826-89FF-0728A061513A}">
      <formula1>"JA,NEIN"</formula1>
    </dataValidation>
  </dataValidations>
  <pageMargins left="0.70866141732283472" right="0.70866141732283472" top="0.78740157480314965" bottom="0.78740157480314965" header="0.31496062992125984" footer="0.31496062992125984"/>
  <pageSetup paperSize="9" scale="10" orientation="portrait" r:id="rId1"/>
  <ignoredErrors>
    <ignoredError sqref="M5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000066"/>
  </sheetPr>
  <dimension ref="B2:Z56"/>
  <sheetViews>
    <sheetView showGridLines="0" showZeros="0" zoomScale="85" zoomScaleNormal="85" workbookViewId="0"/>
  </sheetViews>
  <sheetFormatPr baseColWidth="10" defaultColWidth="11.42578125" defaultRowHeight="15" x14ac:dyDescent="0.25"/>
  <cols>
    <col min="1" max="1" width="2.28515625" style="25" customWidth="1"/>
    <col min="2" max="2" width="11.42578125" style="25" customWidth="1"/>
    <col min="3" max="7" width="11.42578125" style="25"/>
    <col min="8" max="8" width="8.7109375" style="25" customWidth="1"/>
    <col min="9" max="9" width="22.85546875" style="25" customWidth="1"/>
    <col min="10" max="11" width="11.42578125" style="25"/>
    <col min="12" max="12" width="12.7109375" style="25" customWidth="1"/>
    <col min="13" max="13" width="11.42578125" style="25" customWidth="1"/>
    <col min="14" max="15" width="12.7109375" style="25" customWidth="1"/>
    <col min="16" max="16" width="11.42578125" style="25"/>
    <col min="17" max="17" width="19.42578125" style="25" customWidth="1"/>
    <col min="18" max="24" width="11.42578125" style="25"/>
    <col min="25" max="25" width="13.42578125" style="25" customWidth="1"/>
    <col min="26" max="16384" width="11.42578125" style="25"/>
  </cols>
  <sheetData>
    <row r="2" spans="2:25" ht="27" x14ac:dyDescent="0.5">
      <c r="B2" s="27" t="s">
        <v>0</v>
      </c>
    </row>
    <row r="3" spans="2:25" ht="18.75" x14ac:dyDescent="0.3">
      <c r="B3" s="28" t="str">
        <f>"In vier Schritten zur Berechnung Ihres möglichen Zuschusses in der " &amp; par_EZ_Stufe &amp; " (für Unternehmen mit Energie-, Strom- und Treibstoffbeschaffungskosten bis EUR " &amp; par_EZ_Grenze_txt &amp; ".)"</f>
        <v>In vier Schritten zur Berechnung Ihres möglichen Zuschusses in der Basisstufe (für Unternehmen mit Energie-, Strom- und Treibstoffbeschaffungskosten bis EUR 80 Mio.)</v>
      </c>
    </row>
    <row r="5" spans="2:25" x14ac:dyDescent="0.25">
      <c r="I5" s="74"/>
      <c r="J5" s="74"/>
    </row>
    <row r="6" spans="2:25" ht="18.75" x14ac:dyDescent="0.4">
      <c r="B6" s="36" t="s">
        <v>37</v>
      </c>
      <c r="C6" s="32"/>
      <c r="D6" s="32"/>
      <c r="E6" s="32"/>
      <c r="F6" s="32"/>
      <c r="G6" s="32"/>
      <c r="H6" s="32"/>
      <c r="I6" s="32"/>
      <c r="J6" s="32"/>
      <c r="K6" s="32"/>
      <c r="L6" s="32"/>
      <c r="M6" s="32"/>
      <c r="N6" s="32"/>
      <c r="O6" s="32"/>
      <c r="P6" s="32"/>
      <c r="Q6" s="32"/>
      <c r="R6" s="32"/>
      <c r="S6" s="32"/>
      <c r="T6" s="32"/>
      <c r="U6" s="32"/>
      <c r="V6" s="32"/>
      <c r="W6" s="32"/>
      <c r="X6" s="32"/>
      <c r="Y6" s="79"/>
    </row>
    <row r="7" spans="2:25" ht="18.75" x14ac:dyDescent="0.4">
      <c r="B7" s="36"/>
      <c r="C7" s="32"/>
      <c r="D7" s="32"/>
      <c r="E7" s="32"/>
      <c r="F7" s="32"/>
      <c r="G7" s="32"/>
      <c r="H7" s="32"/>
      <c r="I7" s="32"/>
      <c r="J7" s="32"/>
      <c r="K7" s="32"/>
      <c r="L7" s="32"/>
      <c r="M7" s="32"/>
      <c r="N7" s="32"/>
      <c r="O7" s="32"/>
      <c r="P7" s="32"/>
      <c r="Q7" s="32"/>
      <c r="R7" s="32"/>
      <c r="S7" s="32"/>
      <c r="T7" s="32"/>
      <c r="U7" s="32"/>
      <c r="V7" s="32"/>
      <c r="W7" s="32"/>
      <c r="X7" s="32"/>
      <c r="Y7" s="79"/>
    </row>
    <row r="8" spans="2:25" ht="18.75" x14ac:dyDescent="0.4">
      <c r="B8" s="36" t="s">
        <v>15</v>
      </c>
      <c r="C8" s="32"/>
      <c r="D8" s="32"/>
      <c r="E8" s="32"/>
      <c r="F8" s="32"/>
      <c r="G8" s="32"/>
      <c r="H8" s="32"/>
      <c r="I8" s="59">
        <f>IFERROR(MAX(('2 - Strom Erdgas Wärme Förderj.'!H19*par_Strom_ZQ*(MIN(ROUND('2 - Strom Erdgas Wärme Förderj.'!H13,0),par_Strom_kWh_max)+ROUND('2 - Strom Erdgas Wärme Förderj.'!H14,0))),0),0)</f>
        <v>0</v>
      </c>
      <c r="J8" s="36" t="s">
        <v>12</v>
      </c>
      <c r="K8" s="33" t="s">
        <v>4</v>
      </c>
      <c r="L8" s="108" t="str">
        <f>"Die Zuschusshöhe errechnet sich wie folgt: Preisanstieg x Verbrauch (bei Zählpunkten ohne Lastprofilzähler max. " &amp; TEXT(par_Strom_kWh_max,"#.##0")&amp; " kWh) x " &amp; par_Strom_ZQ*100 &amp; " % Zuschussquote."</f>
        <v>Die Zuschusshöhe errechnet sich wie folgt: Preisanstieg x Verbrauch (bei Zählpunkten ohne Lastprofilzähler max. 1.000.000 kWh) x 50 % Zuschussquote.</v>
      </c>
      <c r="M8" s="108"/>
      <c r="N8" s="108"/>
      <c r="O8" s="108"/>
      <c r="P8" s="108"/>
      <c r="Q8" s="108"/>
      <c r="R8" s="108"/>
      <c r="S8" s="108"/>
      <c r="T8" s="108"/>
      <c r="U8" s="108"/>
      <c r="V8" s="108"/>
      <c r="W8" s="108"/>
      <c r="X8" s="108"/>
      <c r="Y8" s="79"/>
    </row>
    <row r="9" spans="2:25" ht="18.75" x14ac:dyDescent="0.4">
      <c r="B9" s="36" t="s">
        <v>18</v>
      </c>
      <c r="C9" s="32"/>
      <c r="D9" s="32"/>
      <c r="E9" s="32"/>
      <c r="F9" s="32"/>
      <c r="G9" s="32"/>
      <c r="H9" s="32"/>
      <c r="I9" s="59">
        <f>IFERROR(MAX(('2 - Strom Erdgas Wärme Förderj.'!H28*par_Erdgas_ZQ*(MIN(ROUND('2 - Strom Erdgas Wärme Förderj.'!H22,0),par_Erdgas_kWh_max)+ROUND('2 - Strom Erdgas Wärme Förderj.'!H23,0))),0),0)</f>
        <v>0</v>
      </c>
      <c r="J9" s="36" t="s">
        <v>12</v>
      </c>
      <c r="K9" s="33" t="s">
        <v>4</v>
      </c>
      <c r="L9" s="108" t="str">
        <f>"Die Zuschusshöhe errechnet sich wie folgt: Preisanstieg x Verbrauch (bei Zählpunkten ohne Lastprofilzähler max. " &amp; TEXT(par_Erdgas_kWh_max,"#.##0")&amp; " kWh) x " &amp; par_Erdgas_ZQ*100 &amp; " % Zuschussquote."</f>
        <v>Die Zuschusshöhe errechnet sich wie folgt: Preisanstieg x Verbrauch (bei Zählpunkten ohne Lastprofilzähler max. 1.000.000 kWh) x 50 % Zuschussquote.</v>
      </c>
      <c r="M9" s="240"/>
      <c r="N9" s="240"/>
      <c r="O9" s="109"/>
      <c r="P9" s="108"/>
      <c r="Q9" s="108"/>
      <c r="R9" s="108"/>
      <c r="S9" s="108"/>
      <c r="T9" s="108"/>
      <c r="U9" s="108"/>
      <c r="V9" s="108"/>
      <c r="W9" s="108"/>
      <c r="X9" s="108"/>
      <c r="Y9" s="79"/>
    </row>
    <row r="10" spans="2:25" ht="18.75" x14ac:dyDescent="0.4">
      <c r="B10" s="36" t="s">
        <v>53</v>
      </c>
      <c r="C10" s="32"/>
      <c r="D10" s="32"/>
      <c r="E10" s="32"/>
      <c r="F10" s="32"/>
      <c r="G10" s="32"/>
      <c r="H10" s="32"/>
      <c r="I10" s="75">
        <f>IFERROR(MAX(('2 - Strom Erdgas Wärme Förderj.'!H38*par_WK_ZQ*ROUND('2 - Strom Erdgas Wärme Förderj.'!H34/100,4)*(MIN(ROUND('2 - Strom Erdgas Wärme Förderj.'!H31,0),par_WK_kWh_max)+ROUND('2 - Strom Erdgas Wärme Förderj.'!H32,0))),0),"")</f>
        <v>0</v>
      </c>
      <c r="J10" s="36" t="s">
        <v>12</v>
      </c>
      <c r="K10" s="33" t="s">
        <v>4</v>
      </c>
      <c r="L10" s="108" t="str">
        <f>"Die Zuschusshöhe errechnet sich wie folgt: Preisanstieg x Verbrauch (bei Zählpunkten ohne Lastprofilzähler max. " &amp; TEXT(par_WK_kWh_max,"#.##0")&amp; " kWh) x " &amp; par_WK_ZQ*100 &amp; " % Zuschussquote."</f>
        <v>Die Zuschusshöhe errechnet sich wie folgt: Preisanstieg x Verbrauch (bei Zählpunkten ohne Lastprofilzähler max. 1.000.000 kWh) x 50 % Zuschussquote.</v>
      </c>
      <c r="M10" s="240"/>
      <c r="N10" s="240"/>
      <c r="O10" s="109"/>
      <c r="P10" s="108"/>
      <c r="Q10" s="108"/>
      <c r="R10" s="108"/>
      <c r="S10" s="108"/>
      <c r="T10" s="108"/>
      <c r="U10" s="108"/>
      <c r="V10" s="108"/>
      <c r="W10" s="108"/>
      <c r="X10" s="108"/>
      <c r="Y10" s="79"/>
    </row>
    <row r="11" spans="2:25" ht="18.75" x14ac:dyDescent="0.4">
      <c r="B11" s="36" t="s">
        <v>38</v>
      </c>
      <c r="C11" s="32"/>
      <c r="D11" s="32"/>
      <c r="E11" s="32"/>
      <c r="F11" s="32"/>
      <c r="G11" s="32"/>
      <c r="H11" s="32"/>
      <c r="I11" s="59">
        <f>IFERROR(MAX((MAX(('3 - Treibstoffe'!C29-par_Treibstoff_BasisPreisanstieg)*ROUND('3 - Treibstoffe'!C28,0),0)*par_TS_ZQ),0),0)</f>
        <v>0</v>
      </c>
      <c r="J11" s="36" t="s">
        <v>12</v>
      </c>
      <c r="K11" s="33" t="s">
        <v>4</v>
      </c>
      <c r="L11" s="108" t="str">
        <f>"Die Zuschusshöhe errechnet sich, indem der Preisanstieg (d.h. der durchschnittliche Nettopreis - " &amp; par_Treibstoff_BasisPreisanstieg*100 &amp; " Cent) mit dem Verbrauch und der Zuschussquote von " &amp; par_TS_ZQ*100 &amp; " % multipliziert wird."</f>
        <v>Die Zuschusshöhe errechnet sich, indem der Preisanstieg (d.h. der durchschnittliche Nettopreis - 60 Cent) mit dem Verbrauch und der Zuschussquote von 50 % multipliziert wird.</v>
      </c>
      <c r="M11" s="240"/>
      <c r="N11" s="240"/>
      <c r="O11" s="109"/>
      <c r="P11" s="108"/>
      <c r="Q11" s="108"/>
      <c r="R11" s="108"/>
      <c r="S11" s="108"/>
      <c r="T11" s="108"/>
      <c r="U11" s="108"/>
      <c r="V11" s="108"/>
      <c r="W11" s="108"/>
      <c r="X11" s="108"/>
      <c r="Y11" s="79"/>
    </row>
    <row r="12" spans="2:25" ht="18.75" x14ac:dyDescent="0.4">
      <c r="B12" s="36" t="s">
        <v>120</v>
      </c>
      <c r="C12" s="32"/>
      <c r="D12" s="32"/>
      <c r="E12" s="32"/>
      <c r="F12" s="32"/>
      <c r="G12" s="32"/>
      <c r="H12" s="32"/>
      <c r="I12" s="75">
        <f>IFERROR(MAX(((ROUND('4 - Heizöl_Holzpellets_Hacksch.'!E20,4)-ROUND('4 - Heizöl_Holzpellets_Hacksch.'!E33,4))*ROUND('4 - Heizöl_Holzpellets_Hacksch.'!E44,0)*par_HZetc_ZQ),0),0)</f>
        <v>0</v>
      </c>
      <c r="J12" s="36" t="s">
        <v>12</v>
      </c>
      <c r="K12" s="33" t="s">
        <v>4</v>
      </c>
      <c r="L12" s="108" t="str">
        <f>"Die Zuschusshöhe errechnet sich wie folgt: (Durchschnittspreis/Liter im Förderzeitraum - Durchschnittspreis/Liter im Vergleichszeitraum) x förderfähiger Menge x " &amp; par_Strom_ZQ*100 &amp; " % Zuschussquote."</f>
        <v>Die Zuschusshöhe errechnet sich wie folgt: (Durchschnittspreis/Liter im Förderzeitraum - Durchschnittspreis/Liter im Vergleichszeitraum) x förderfähiger Menge x 50 % Zuschussquote.</v>
      </c>
      <c r="M12" s="240"/>
      <c r="N12" s="240"/>
      <c r="O12" s="109"/>
      <c r="P12" s="108"/>
      <c r="Q12" s="108"/>
      <c r="R12" s="108"/>
      <c r="S12" s="108"/>
      <c r="T12" s="108"/>
      <c r="U12" s="108"/>
      <c r="V12" s="108"/>
      <c r="W12" s="108"/>
      <c r="X12" s="108"/>
      <c r="Y12" s="79"/>
    </row>
    <row r="13" spans="2:25" ht="18.75" x14ac:dyDescent="0.4">
      <c r="B13" s="36" t="s">
        <v>118</v>
      </c>
      <c r="C13" s="32"/>
      <c r="D13" s="32"/>
      <c r="E13" s="32"/>
      <c r="F13" s="32"/>
      <c r="G13" s="32"/>
      <c r="H13" s="32"/>
      <c r="I13" s="75">
        <f>IFERROR(MAX(((ROUND('4 - Heizöl_Holzpellets_Hacksch.'!E24,4)-ROUND('4 - Heizöl_Holzpellets_Hacksch.'!E37,4))*ROUND('4 - Heizöl_Holzpellets_Hacksch.'!E45,4)*par_HZetc_ZQ),0),0)</f>
        <v>0</v>
      </c>
      <c r="J13" s="36" t="s">
        <v>12</v>
      </c>
      <c r="K13" s="33" t="s">
        <v>4</v>
      </c>
      <c r="L13" s="108" t="str">
        <f>"Die Zuschusshöhe errechnet sich wie folgt: (Durchschnittspreis/Tonne im Förderzeitraum - Durchschnittspreis/Tonne im Vergleichszeitraum) x förderfähiger Menge x " &amp; par_Strom_ZQ*100 &amp; " % Zuschussquote."</f>
        <v>Die Zuschusshöhe errechnet sich wie folgt: (Durchschnittspreis/Tonne im Förderzeitraum - Durchschnittspreis/Tonne im Vergleichszeitraum) x förderfähiger Menge x 50 % Zuschussquote.</v>
      </c>
      <c r="M13" s="240"/>
      <c r="N13" s="240"/>
      <c r="O13" s="109"/>
      <c r="P13" s="108"/>
      <c r="Q13" s="108"/>
      <c r="R13" s="108"/>
      <c r="S13" s="108"/>
      <c r="T13" s="108"/>
      <c r="U13" s="108"/>
      <c r="V13" s="108"/>
      <c r="W13" s="108"/>
      <c r="X13" s="108"/>
      <c r="Y13" s="79"/>
    </row>
    <row r="14" spans="2:25" ht="18.75" x14ac:dyDescent="0.4">
      <c r="B14" s="36" t="s">
        <v>119</v>
      </c>
      <c r="C14" s="32"/>
      <c r="D14" s="32"/>
      <c r="E14" s="32"/>
      <c r="F14" s="32"/>
      <c r="G14" s="32"/>
      <c r="H14" s="32"/>
      <c r="I14" s="75">
        <f>IFERROR(MAX(((ROUND('4 - Heizöl_Holzpellets_Hacksch.'!E25,4)-ROUND('4 - Heizöl_Holzpellets_Hacksch.'!E38,4))*ROUND('4 - Heizöl_Holzpellets_Hacksch.'!E46,4)*par_HZetc_ZQ),0),0)</f>
        <v>0</v>
      </c>
      <c r="J14" s="36" t="s">
        <v>12</v>
      </c>
      <c r="K14" s="33" t="s">
        <v>4</v>
      </c>
      <c r="L14" s="108" t="str">
        <f>"Die Zuschusshöhe errechnet sich wie folgt: (Durchschnittspreis/Tonne im Förderzeitraum - Durchschnittspreis/Tonne im Vergleichszeitraum) x förderfähiger Menge x " &amp; par_Strom_ZQ*100 &amp; " % Zuschussquote."</f>
        <v>Die Zuschusshöhe errechnet sich wie folgt: (Durchschnittspreis/Tonne im Förderzeitraum - Durchschnittspreis/Tonne im Vergleichszeitraum) x förderfähiger Menge x 50 % Zuschussquote.</v>
      </c>
      <c r="M14" s="240"/>
      <c r="N14" s="240"/>
      <c r="O14" s="109"/>
      <c r="P14" s="108"/>
      <c r="Q14" s="108"/>
      <c r="R14" s="108"/>
      <c r="S14" s="108"/>
      <c r="T14" s="108"/>
      <c r="U14" s="108"/>
      <c r="V14" s="108"/>
      <c r="W14" s="108"/>
      <c r="X14" s="108"/>
      <c r="Y14" s="79"/>
    </row>
    <row r="15" spans="2:25" ht="18.75" x14ac:dyDescent="0.4">
      <c r="B15" s="60"/>
      <c r="C15" s="60"/>
      <c r="D15" s="60"/>
      <c r="E15" s="32"/>
      <c r="F15" s="53"/>
      <c r="G15" s="53"/>
      <c r="H15" s="61"/>
      <c r="I15" s="61"/>
      <c r="J15" s="62"/>
      <c r="K15" s="33"/>
      <c r="L15" s="108"/>
      <c r="M15" s="240"/>
      <c r="N15" s="240"/>
      <c r="O15" s="109"/>
      <c r="P15" s="108"/>
      <c r="Q15" s="108"/>
      <c r="R15" s="108"/>
      <c r="S15" s="108"/>
      <c r="T15" s="108"/>
      <c r="U15" s="108"/>
      <c r="V15" s="108"/>
      <c r="W15" s="108"/>
      <c r="X15" s="108"/>
      <c r="Y15" s="79"/>
    </row>
    <row r="16" spans="2:25" ht="18.75" x14ac:dyDescent="0.4">
      <c r="B16" s="60" t="s">
        <v>39</v>
      </c>
      <c r="C16" s="60"/>
      <c r="D16" s="60"/>
      <c r="E16" s="32"/>
      <c r="F16" s="63"/>
      <c r="G16" s="63"/>
      <c r="H16" s="63"/>
      <c r="I16" s="59">
        <f>IFERROR(MIN(IF((SUM(I8:I14))&gt;=par_Zuschuss_Untergrenze,IF(SUM(I8:I14)&lt;=par_Pauschalgrenze,SUM(I8:I14)+par_Zuschuss_Pauschal,SUM(I8:I14)),0),par_Zuschuss_max),"")</f>
        <v>0</v>
      </c>
      <c r="J16" s="36" t="s">
        <v>12</v>
      </c>
      <c r="K16" s="33" t="s">
        <v>4</v>
      </c>
      <c r="L16" s="432" t="str">
        <f>IF(SUM(I8:I14)&lt;par_Zuschuss_Untergrenze,"Der mögliche Gesamtzuschuss liegt unter der betragsmäßigen Untergrenze von EUR " &amp; par_Zuschuss_Untergrenze&amp; ",- ",IF(SUM(I8:I14)&lt;=par_Pauschalgrenze,"Die Berechnung des Zuschusses (max. " &amp; TEXT(par_Zuschuss_max,"#.##0") &amp; " EUR) erfolgt auf Basis Ihrer Angaben, die im Zuge der Antragstellung geprüft werden können. Der Energiekostenzuschuss beinhaltet einen Pauschalbetrag in Höhe von € " &amp; par_Zuschuss_Pauschal &amp; ",- zur Abdeckung der Steuerberatungskosten.","Die Berechnung des Zuschusses (max. " &amp; TEXT(par_Zuschuss_max,"#.##0") &amp; " EUR) erfolgt auf Basis Ihrer Angaben, die im Zuge der Antragstellung geprüft werden können."))</f>
        <v xml:space="preserve">Der mögliche Gesamtzuschuss liegt unter der betragsmäßigen Untergrenze von EUR 1500,- </v>
      </c>
      <c r="M16" s="433"/>
      <c r="N16" s="433"/>
      <c r="O16" s="433"/>
      <c r="P16" s="433"/>
      <c r="Q16" s="433"/>
      <c r="R16" s="433"/>
      <c r="S16" s="433"/>
      <c r="T16" s="433"/>
      <c r="U16" s="433"/>
      <c r="V16" s="433"/>
      <c r="W16" s="433"/>
      <c r="X16" s="433"/>
      <c r="Y16" s="237">
        <f>IFERROR(IF(SUM(I8:I14)&lt;par_Zuschuss_Untergrenze,1,0),0)</f>
        <v>1</v>
      </c>
    </row>
    <row r="17" spans="2:26" ht="16.5" x14ac:dyDescent="0.3">
      <c r="B17" s="32"/>
      <c r="C17" s="32"/>
      <c r="D17" s="32"/>
      <c r="E17" s="32"/>
      <c r="F17" s="53"/>
      <c r="G17" s="53"/>
      <c r="H17" s="53"/>
      <c r="I17" s="53"/>
      <c r="J17" s="53"/>
      <c r="K17" s="53"/>
      <c r="L17" s="433"/>
      <c r="M17" s="433"/>
      <c r="N17" s="433"/>
      <c r="O17" s="433"/>
      <c r="P17" s="433"/>
      <c r="Q17" s="433"/>
      <c r="R17" s="433"/>
      <c r="S17" s="433"/>
      <c r="T17" s="433"/>
      <c r="U17" s="433"/>
      <c r="V17" s="433"/>
      <c r="W17" s="433"/>
      <c r="X17" s="433"/>
      <c r="Y17" s="79"/>
    </row>
    <row r="18" spans="2:26" ht="18.75" x14ac:dyDescent="0.4">
      <c r="B18" s="60" t="str">
        <f>IF(I16&gt;=par_Zuschuss_EBITDAgrenze,"Der vorläufige Zuschuss übersteigt die Grenze von EUR " &amp; TEXT(par_Zuschuss_EBITDAgrenze,"#.##0") &amp; ". Um einen Zuschuss von mehr als EUR 125.000 zu erreichen, sind weitere Angaben erforderlich:","")</f>
        <v/>
      </c>
      <c r="C18" s="60"/>
      <c r="D18" s="60"/>
      <c r="E18" s="32"/>
      <c r="F18" s="53"/>
      <c r="G18" s="53"/>
      <c r="H18" s="61"/>
      <c r="I18" s="61"/>
      <c r="J18" s="62"/>
      <c r="K18" s="33"/>
      <c r="L18" s="32"/>
      <c r="M18" s="53"/>
      <c r="N18" s="53"/>
      <c r="O18" s="33"/>
      <c r="P18" s="32"/>
      <c r="Q18" s="32"/>
      <c r="R18" s="32"/>
      <c r="S18" s="32"/>
      <c r="T18" s="32"/>
      <c r="U18" s="32"/>
      <c r="V18" s="32"/>
      <c r="W18" s="32"/>
      <c r="X18" s="32"/>
      <c r="Y18" s="79"/>
    </row>
    <row r="19" spans="2:26" ht="10.15" customHeight="1" x14ac:dyDescent="0.4">
      <c r="B19" s="60"/>
      <c r="C19" s="60"/>
      <c r="D19" s="60"/>
      <c r="E19" s="32"/>
      <c r="F19" s="53"/>
      <c r="G19" s="53"/>
      <c r="H19" s="61"/>
      <c r="I19" s="61"/>
      <c r="J19" s="62"/>
      <c r="K19" s="33"/>
      <c r="L19" s="32"/>
      <c r="M19" s="53"/>
      <c r="N19" s="53"/>
      <c r="O19" s="33"/>
      <c r="P19" s="32"/>
      <c r="Q19" s="32"/>
      <c r="R19" s="32"/>
      <c r="S19" s="32"/>
      <c r="T19" s="32"/>
      <c r="U19" s="32"/>
      <c r="V19" s="32"/>
      <c r="W19" s="32"/>
      <c r="X19" s="32"/>
      <c r="Y19" s="79"/>
    </row>
    <row r="20" spans="2:26" ht="14.45" customHeight="1" x14ac:dyDescent="0.25">
      <c r="B20" s="79"/>
      <c r="C20" s="79"/>
      <c r="D20" s="79"/>
      <c r="E20" s="79"/>
      <c r="F20" s="79"/>
      <c r="G20" s="79"/>
      <c r="H20" s="79"/>
      <c r="I20" s="79"/>
      <c r="J20" s="79"/>
      <c r="K20" s="429"/>
      <c r="L20" s="408"/>
      <c r="M20" s="408"/>
      <c r="N20" s="408"/>
      <c r="O20" s="408"/>
      <c r="P20" s="408"/>
      <c r="Q20" s="408"/>
      <c r="R20" s="408"/>
      <c r="S20" s="408"/>
      <c r="T20" s="408"/>
      <c r="U20" s="408"/>
      <c r="V20" s="408"/>
      <c r="W20" s="408"/>
      <c r="X20" s="79"/>
      <c r="Y20" s="239"/>
    </row>
    <row r="21" spans="2:26" ht="18" customHeight="1" thickBot="1" x14ac:dyDescent="0.35">
      <c r="B21" s="88" t="s">
        <v>143</v>
      </c>
      <c r="C21" s="88"/>
      <c r="D21" s="32"/>
      <c r="E21" s="79"/>
      <c r="F21" s="79"/>
      <c r="G21" s="79"/>
      <c r="H21" s="79"/>
      <c r="I21" s="79"/>
      <c r="J21" s="79"/>
      <c r="K21" s="429"/>
      <c r="L21" s="408"/>
      <c r="M21" s="408"/>
      <c r="N21" s="408"/>
      <c r="O21" s="408"/>
      <c r="P21" s="408"/>
      <c r="Q21" s="408"/>
      <c r="R21" s="408"/>
      <c r="S21" s="408"/>
      <c r="T21" s="408"/>
      <c r="U21" s="408"/>
      <c r="V21" s="408"/>
      <c r="W21" s="408"/>
      <c r="X21" s="297"/>
      <c r="Y21" s="297"/>
    </row>
    <row r="22" spans="2:26" ht="29.65" customHeight="1" thickBot="1" x14ac:dyDescent="0.3">
      <c r="B22" s="434" t="s">
        <v>144</v>
      </c>
      <c r="C22" s="434"/>
      <c r="D22" s="435" t="s">
        <v>184</v>
      </c>
      <c r="E22" s="436"/>
      <c r="F22" s="436"/>
      <c r="G22" s="437"/>
      <c r="H22" s="96"/>
      <c r="I22" s="96"/>
      <c r="J22" s="79"/>
      <c r="K22" s="429" t="s">
        <v>4</v>
      </c>
      <c r="L22" s="408" t="s">
        <v>239</v>
      </c>
      <c r="M22" s="408"/>
      <c r="N22" s="408"/>
      <c r="O22" s="408"/>
      <c r="P22" s="408"/>
      <c r="Q22" s="408"/>
      <c r="R22" s="408"/>
      <c r="S22" s="408"/>
      <c r="T22" s="408"/>
      <c r="U22" s="408"/>
      <c r="V22" s="408"/>
      <c r="W22" s="408"/>
      <c r="X22" s="123">
        <f>IF(AND(D22="Betriebsverlustmethode",H24&lt;0,H24&gt;=-125000),125000,IF(AND(D22="Betriebsverlustmethode",H24&lt;0,H24&lt;-125000,Zuschuss_vorläufig&gt;(H24*-1)),H24*-1,Zuschuss_vorläufig))</f>
        <v>0</v>
      </c>
      <c r="Y22" s="242"/>
    </row>
    <row r="23" spans="2:26" ht="9.6" customHeight="1" thickBot="1" x14ac:dyDescent="0.3">
      <c r="B23" s="96"/>
      <c r="C23" s="96"/>
      <c r="D23" s="96"/>
      <c r="E23" s="96"/>
      <c r="F23" s="96"/>
      <c r="G23" s="96"/>
      <c r="H23" s="96"/>
      <c r="I23" s="96"/>
      <c r="J23" s="79"/>
      <c r="K23" s="429"/>
      <c r="L23" s="239"/>
      <c r="M23" s="239"/>
      <c r="N23" s="239"/>
      <c r="O23" s="239"/>
      <c r="P23" s="239"/>
      <c r="Q23" s="239"/>
      <c r="R23" s="239"/>
      <c r="S23" s="239"/>
      <c r="T23" s="239"/>
      <c r="U23" s="239"/>
      <c r="V23" s="239"/>
      <c r="W23" s="239"/>
      <c r="X23" s="242"/>
      <c r="Y23" s="242"/>
    </row>
    <row r="24" spans="2:26" ht="16.5" thickBot="1" x14ac:dyDescent="0.3">
      <c r="B24" s="427" t="str">
        <f>"Betriebsergebnis (EBITDA) in Zeitraum "  &amp; TEXT(par_FZ_SEW_Start,"MMMM jjjj") &amp; " bis " &amp; TEXT(par_FZ_SEW_Ende,"MMMM jjjj") &amp; ":"</f>
        <v>Betriebsergebnis (EBITDA) in Zeitraum Jänner 2023 bis Juni 2023:</v>
      </c>
      <c r="C24" s="427"/>
      <c r="D24" s="427"/>
      <c r="E24" s="427"/>
      <c r="F24" s="427"/>
      <c r="G24" s="427"/>
      <c r="H24" s="438"/>
      <c r="I24" s="439"/>
      <c r="J24" s="79"/>
      <c r="K24" s="238"/>
      <c r="L24" s="244" t="s">
        <v>240</v>
      </c>
      <c r="M24" s="239"/>
      <c r="N24" s="239"/>
      <c r="O24" s="239"/>
      <c r="P24" s="239"/>
      <c r="Q24" s="239"/>
      <c r="R24" s="239"/>
      <c r="S24" s="239"/>
      <c r="T24" s="239"/>
      <c r="U24" s="239"/>
      <c r="V24" s="239"/>
      <c r="W24" s="239"/>
      <c r="X24" s="123"/>
      <c r="Y24" s="123"/>
    </row>
    <row r="25" spans="2:26" ht="17.45" customHeight="1" thickBot="1" x14ac:dyDescent="0.3">
      <c r="B25" s="427" t="str">
        <f>"Betriebsergebnis (EBITDA) in Zeitraum Jänner 2021 bis Juni 2021:"</f>
        <v>Betriebsergebnis (EBITDA) in Zeitraum Jänner 2021 bis Juni 2021:</v>
      </c>
      <c r="C25" s="427"/>
      <c r="D25" s="427"/>
      <c r="E25" s="427"/>
      <c r="F25" s="427"/>
      <c r="G25" s="428"/>
      <c r="H25" s="430"/>
      <c r="I25" s="431"/>
      <c r="J25" s="79"/>
      <c r="K25" s="429" t="s">
        <v>4</v>
      </c>
      <c r="L25" s="408" t="s">
        <v>253</v>
      </c>
      <c r="M25" s="408"/>
      <c r="N25" s="408"/>
      <c r="O25" s="408"/>
      <c r="P25" s="408"/>
      <c r="Q25" s="408"/>
      <c r="R25" s="408"/>
      <c r="S25" s="408"/>
      <c r="T25" s="408"/>
      <c r="U25" s="408"/>
      <c r="V25" s="408"/>
      <c r="W25" s="408"/>
      <c r="X25" s="243">
        <f>IF(AND(EBITDA_FZ&lt;(EBIDTA_VZ*(1-EBITDA_Absenkung)),X26&gt;125000),1,2)</f>
        <v>2</v>
      </c>
      <c r="Y25" s="123">
        <f>IF(X25=2,par_Zuschuss_EBITDAgrenze,0)</f>
        <v>125000</v>
      </c>
      <c r="Z25" s="122">
        <f>IF(AND(EBIDTA_VZ&gt;=0,EBITDA_FZ&gt;=0),4,3)</f>
        <v>4</v>
      </c>
    </row>
    <row r="26" spans="2:26" ht="17.45" customHeight="1" thickBot="1" x14ac:dyDescent="0.3">
      <c r="B26" s="427" t="str">
        <f>"Betriebsergebnis (EBITDA) in Zeitraum "  &amp; TEXT(par_FZ_SEW_Start,"MMMM jjjj") &amp; " bis " &amp; TEXT(par_FZ_SEW_Ende,"MMMM jjjj") &amp; ":"</f>
        <v>Betriebsergebnis (EBITDA) in Zeitraum Jänner 2023 bis Juni 2023:</v>
      </c>
      <c r="C26" s="427"/>
      <c r="D26" s="427"/>
      <c r="E26" s="427"/>
      <c r="F26" s="427"/>
      <c r="G26" s="427"/>
      <c r="H26" s="430"/>
      <c r="I26" s="431"/>
      <c r="J26" s="79"/>
      <c r="K26" s="429"/>
      <c r="L26" s="408"/>
      <c r="M26" s="408"/>
      <c r="N26" s="408"/>
      <c r="O26" s="408"/>
      <c r="P26" s="408"/>
      <c r="Q26" s="408"/>
      <c r="R26" s="408"/>
      <c r="S26" s="408"/>
      <c r="T26" s="408"/>
      <c r="U26" s="408"/>
      <c r="V26" s="408"/>
      <c r="W26" s="408"/>
      <c r="X26" s="123" t="b">
        <f>IF(EBITDA_FZ&lt;EBIDTA_VZ*(1-EBITDA_Absenkung),IF(EBITDA_FZ+Zuschuss_vorläufig&gt;EBIDTA_VZ*par_EBITDA_Grenzsatz,(((EBIDTA_VZ*par_EBITDA_Grenzsatz*-1)+EBITDA_FZ)*-1),IF(EBITDA_FZ+Zuschuss_vorläufig&lt;=EBIDTA_VZ*par_EBITDA_Grenzsatz,Zuschuss_vorläufig,0)))</f>
        <v>0</v>
      </c>
      <c r="Y26" s="123"/>
    </row>
    <row r="27" spans="2:26" x14ac:dyDescent="0.25">
      <c r="B27" s="96"/>
      <c r="C27" s="96"/>
      <c r="D27" s="96"/>
      <c r="E27" s="96"/>
      <c r="F27" s="96"/>
      <c r="G27" s="96"/>
      <c r="H27" s="96"/>
      <c r="I27" s="96"/>
      <c r="J27" s="79"/>
      <c r="K27" s="429"/>
      <c r="L27" s="408"/>
      <c r="M27" s="408"/>
      <c r="N27" s="408"/>
      <c r="O27" s="408"/>
      <c r="P27" s="408"/>
      <c r="Q27" s="408"/>
      <c r="R27" s="408"/>
      <c r="S27" s="408"/>
      <c r="T27" s="408"/>
      <c r="U27" s="408"/>
      <c r="V27" s="408"/>
      <c r="W27" s="408"/>
      <c r="X27" s="123"/>
      <c r="Y27" s="123"/>
    </row>
    <row r="28" spans="2:26" ht="22.15" customHeight="1" x14ac:dyDescent="0.4">
      <c r="B28" s="91" t="s">
        <v>186</v>
      </c>
      <c r="C28" s="79"/>
      <c r="D28" s="79"/>
      <c r="E28" s="79"/>
      <c r="F28" s="79"/>
      <c r="G28" s="79"/>
      <c r="H28" s="79"/>
      <c r="I28" s="92">
        <f>IFERROR(IF(AND(D22="Betriebsverlustmethode",H24&lt;0),X22-Zuschuss_vorläufig,IF(AND(D22="Betriebsverlustmethode",H24=""),(Zuschuss_vorläufig-par_Zuschuss_EBITDAgrenze)*-1,IF(AND(D22="EBITDA-Absenkungsmethode",X25=1),(Zuschuss_vorläufig*-1)+X26,IF(AND(D22="EBITDA-Absenkungsmethode",X25=2),(Zuschuss_vorläufig*-1)+Y25,0)))),0)</f>
        <v>125000</v>
      </c>
      <c r="J28" s="91" t="s">
        <v>12</v>
      </c>
      <c r="K28" s="33" t="str">
        <f>IF(I28=0,"","i")</f>
        <v>i</v>
      </c>
      <c r="L28" s="241" t="str">
        <f>IF(I28=0,"","Der Zuschussbetrag wird gemäß Sonderbestimmung Richtlinie Pkt. 9.9.3 um folgenden Betrag gekürzt.")</f>
        <v>Der Zuschussbetrag wird gemäß Sonderbestimmung Richtlinie Pkt. 9.9.3 um folgenden Betrag gekürzt.</v>
      </c>
      <c r="M28" s="93"/>
      <c r="N28" s="93"/>
      <c r="O28" s="93"/>
      <c r="P28" s="79"/>
      <c r="Q28" s="79"/>
      <c r="R28" s="79"/>
      <c r="S28" s="79"/>
      <c r="T28" s="79"/>
      <c r="U28" s="79"/>
      <c r="V28" s="79"/>
      <c r="W28" s="79"/>
      <c r="X28" s="79"/>
      <c r="Y28" s="79"/>
    </row>
    <row r="29" spans="2:26" ht="6" customHeight="1" x14ac:dyDescent="0.25">
      <c r="B29" s="79"/>
      <c r="C29" s="79"/>
      <c r="D29" s="79"/>
      <c r="E29" s="79"/>
      <c r="F29" s="79"/>
      <c r="G29" s="79"/>
      <c r="H29" s="79"/>
      <c r="I29" s="79"/>
      <c r="J29" s="79"/>
      <c r="K29" s="79"/>
      <c r="L29" s="79"/>
      <c r="M29" s="79"/>
      <c r="N29" s="79"/>
      <c r="O29" s="79"/>
      <c r="P29" s="79"/>
      <c r="Q29" s="79"/>
      <c r="R29" s="79"/>
      <c r="S29" s="79"/>
      <c r="T29" s="79"/>
      <c r="U29" s="79"/>
      <c r="V29" s="79"/>
      <c r="W29" s="79"/>
      <c r="X29" s="79"/>
      <c r="Y29" s="79"/>
    </row>
    <row r="30" spans="2:26" ht="16.899999999999999" customHeight="1" x14ac:dyDescent="0.4">
      <c r="B30" s="60" t="s">
        <v>190</v>
      </c>
      <c r="C30" s="60"/>
      <c r="D30" s="60"/>
      <c r="E30" s="32"/>
      <c r="F30" s="63"/>
      <c r="G30" s="63"/>
      <c r="H30" s="63"/>
      <c r="I30" s="59">
        <f>Zuschuss_vorläufig+I28</f>
        <v>125000</v>
      </c>
      <c r="J30" s="36" t="s">
        <v>12</v>
      </c>
      <c r="K30" s="33" t="s">
        <v>4</v>
      </c>
      <c r="L30" s="432" t="str">
        <f>IF(I30&lt;=par_Zuschuss_Untergrenze,"Der mögliche Gesamtzuschuss liegt unter der betragsmäßigen Untergrenze von EUR " &amp; par_Zuschuss_Untergrenze&amp; ",- .",IF(I30&lt;=par_Pauschalgrenze,"Die unverbindliche Berechnung des Gesamtzuschusses (max. " &amp; TEXT(par_Zuschuss_max,"#.##0") &amp; " EUR) erfolgt auf Basis Ihrer Angaben, die im Zuge der Antragstellung geprüft werden können. Der Energiekostenzuschuss beinhaltet einen Pauschalbetrag in Höhe von € " &amp; par_Zuschuss_Pauschal &amp; ",- zur Abdeckung der Steuerberatungskosten.","Die unverbindliche Berechnung des Gesamtzuschusses erfolgt auf Basis Ihrer Angaben, die im Zuge der Antragstellung geprüft werden können."))</f>
        <v>Die unverbindliche Berechnung des Gesamtzuschusses erfolgt auf Basis Ihrer Angaben, die im Zuge der Antragstellung geprüft werden können.</v>
      </c>
      <c r="M30" s="433"/>
      <c r="N30" s="433"/>
      <c r="O30" s="433"/>
      <c r="P30" s="433"/>
      <c r="Q30" s="433"/>
      <c r="R30" s="433"/>
      <c r="S30" s="433"/>
      <c r="T30" s="433"/>
      <c r="U30" s="433"/>
      <c r="V30" s="433"/>
      <c r="W30" s="433"/>
      <c r="X30" s="433"/>
      <c r="Y30" s="79"/>
    </row>
    <row r="31" spans="2:26" ht="16.5" x14ac:dyDescent="0.3">
      <c r="B31" s="79"/>
      <c r="C31" s="79"/>
      <c r="D31" s="79"/>
      <c r="E31" s="79"/>
      <c r="F31" s="79"/>
      <c r="G31" s="79"/>
      <c r="H31" s="79"/>
      <c r="I31" s="79"/>
      <c r="J31" s="79"/>
      <c r="K31" s="53"/>
      <c r="L31" s="433"/>
      <c r="M31" s="433"/>
      <c r="N31" s="433"/>
      <c r="O31" s="433"/>
      <c r="P31" s="433"/>
      <c r="Q31" s="433"/>
      <c r="R31" s="433"/>
      <c r="S31" s="433"/>
      <c r="T31" s="433"/>
      <c r="U31" s="433"/>
      <c r="V31" s="433"/>
      <c r="W31" s="433"/>
      <c r="X31" s="433"/>
      <c r="Y31" s="79"/>
    </row>
    <row r="32" spans="2:26" x14ac:dyDescent="0.25">
      <c r="B32" s="79"/>
      <c r="C32" s="79"/>
      <c r="D32" s="79"/>
      <c r="E32" s="79"/>
      <c r="F32" s="79"/>
      <c r="G32" s="79"/>
      <c r="H32" s="79"/>
      <c r="I32" s="79"/>
      <c r="J32" s="79"/>
      <c r="K32" s="79"/>
      <c r="L32" s="79"/>
      <c r="M32" s="79"/>
      <c r="N32" s="79"/>
      <c r="O32" s="79"/>
      <c r="P32" s="79"/>
      <c r="Q32" s="79"/>
      <c r="R32" s="79"/>
      <c r="S32" s="79"/>
      <c r="T32" s="79"/>
      <c r="U32" s="79"/>
      <c r="V32" s="79"/>
      <c r="W32" s="79"/>
      <c r="X32" s="79"/>
      <c r="Y32" s="79"/>
    </row>
    <row r="33" spans="2:25" x14ac:dyDescent="0.25">
      <c r="B33" s="79"/>
      <c r="C33" s="79"/>
      <c r="D33" s="79"/>
      <c r="E33" s="79"/>
      <c r="F33" s="79"/>
      <c r="G33" s="79"/>
      <c r="H33" s="79"/>
      <c r="I33" s="79"/>
      <c r="J33" s="79"/>
      <c r="K33" s="79"/>
      <c r="L33" s="79"/>
      <c r="M33" s="79"/>
      <c r="N33" s="79"/>
      <c r="O33" s="79"/>
      <c r="P33" s="79"/>
      <c r="Q33" s="79"/>
      <c r="R33" s="79"/>
      <c r="S33" s="79"/>
      <c r="T33" s="79"/>
      <c r="U33" s="79"/>
      <c r="V33" s="79"/>
      <c r="W33" s="79"/>
      <c r="X33" s="79"/>
      <c r="Y33" s="79"/>
    </row>
    <row r="34" spans="2:25" x14ac:dyDescent="0.25">
      <c r="B34" s="79"/>
      <c r="C34" s="79"/>
      <c r="D34" s="79"/>
      <c r="E34" s="79"/>
      <c r="F34" s="79"/>
      <c r="G34" s="79"/>
      <c r="H34" s="79"/>
      <c r="I34" s="79"/>
      <c r="J34" s="79"/>
      <c r="K34" s="79"/>
      <c r="L34" s="79"/>
      <c r="M34" s="79"/>
      <c r="N34" s="79"/>
      <c r="O34" s="79"/>
      <c r="P34" s="79"/>
      <c r="Q34" s="79"/>
      <c r="R34" s="79"/>
      <c r="S34" s="79"/>
      <c r="T34" s="79"/>
      <c r="U34" s="79"/>
      <c r="V34" s="79"/>
      <c r="W34" s="79"/>
      <c r="X34" s="79"/>
      <c r="Y34" s="79"/>
    </row>
    <row r="35" spans="2:25" x14ac:dyDescent="0.25">
      <c r="B35" s="79"/>
      <c r="C35" s="79"/>
      <c r="D35" s="79"/>
      <c r="E35" s="79"/>
      <c r="F35" s="79"/>
      <c r="G35" s="79"/>
      <c r="H35" s="79"/>
      <c r="I35" s="79"/>
      <c r="J35" s="79"/>
      <c r="K35" s="79"/>
      <c r="L35" s="79"/>
      <c r="M35" s="79"/>
      <c r="N35" s="79"/>
      <c r="O35" s="79"/>
      <c r="P35" s="79"/>
      <c r="Q35" s="79"/>
      <c r="R35" s="79"/>
      <c r="S35" s="79"/>
      <c r="T35" s="79"/>
      <c r="U35" s="79"/>
      <c r="V35" s="79"/>
      <c r="W35" s="79"/>
      <c r="X35" s="79"/>
      <c r="Y35" s="79"/>
    </row>
    <row r="36" spans="2:25" x14ac:dyDescent="0.25">
      <c r="B36" s="79"/>
      <c r="C36" s="79"/>
      <c r="D36" s="79"/>
      <c r="E36" s="79"/>
      <c r="F36" s="79"/>
      <c r="G36" s="79"/>
      <c r="H36" s="79"/>
      <c r="I36" s="79"/>
      <c r="J36" s="79"/>
      <c r="K36" s="79"/>
      <c r="L36" s="79"/>
      <c r="M36" s="79"/>
      <c r="N36" s="79"/>
      <c r="O36" s="79"/>
      <c r="P36" s="79"/>
      <c r="Q36" s="79"/>
      <c r="R36" s="79"/>
      <c r="S36" s="79"/>
      <c r="T36" s="79"/>
      <c r="U36" s="79"/>
      <c r="V36" s="79"/>
      <c r="W36" s="79"/>
      <c r="X36" s="79"/>
      <c r="Y36" s="79"/>
    </row>
    <row r="37" spans="2:25" x14ac:dyDescent="0.25">
      <c r="B37" s="79"/>
      <c r="C37" s="79"/>
      <c r="D37" s="79"/>
      <c r="E37" s="79"/>
      <c r="F37" s="79"/>
      <c r="G37" s="79"/>
      <c r="H37" s="79"/>
      <c r="I37" s="79"/>
      <c r="J37" s="79"/>
      <c r="K37" s="79"/>
      <c r="L37" s="79"/>
      <c r="M37" s="79"/>
      <c r="N37" s="79"/>
      <c r="O37" s="79"/>
      <c r="P37" s="79"/>
      <c r="Q37" s="79"/>
      <c r="R37" s="79"/>
      <c r="S37" s="79"/>
      <c r="T37" s="79"/>
      <c r="U37" s="79"/>
      <c r="V37" s="79"/>
      <c r="W37" s="79"/>
      <c r="X37" s="79"/>
      <c r="Y37" s="79"/>
    </row>
    <row r="38" spans="2:25" x14ac:dyDescent="0.25">
      <c r="B38" s="79"/>
      <c r="C38" s="79"/>
      <c r="D38" s="79"/>
      <c r="E38" s="79"/>
      <c r="F38" s="79"/>
      <c r="G38" s="79"/>
      <c r="H38" s="79"/>
      <c r="I38" s="79"/>
      <c r="J38" s="79"/>
      <c r="K38" s="79"/>
      <c r="L38" s="79"/>
      <c r="M38" s="79"/>
      <c r="N38" s="79"/>
      <c r="O38" s="79"/>
      <c r="P38" s="79"/>
      <c r="Q38" s="79"/>
      <c r="R38" s="79"/>
      <c r="S38" s="79"/>
      <c r="T38" s="79"/>
      <c r="U38" s="79"/>
      <c r="V38" s="79"/>
      <c r="W38" s="79"/>
      <c r="X38" s="79"/>
      <c r="Y38" s="79"/>
    </row>
    <row r="39" spans="2:25" x14ac:dyDescent="0.25">
      <c r="B39" s="79"/>
      <c r="C39" s="79"/>
      <c r="D39" s="79"/>
      <c r="E39" s="79"/>
      <c r="F39" s="79"/>
      <c r="G39" s="79"/>
      <c r="H39" s="79"/>
      <c r="I39" s="79"/>
      <c r="J39" s="79"/>
      <c r="K39" s="79"/>
      <c r="L39" s="79"/>
      <c r="M39" s="79"/>
      <c r="N39" s="79"/>
      <c r="O39" s="79"/>
      <c r="P39" s="79"/>
      <c r="Q39" s="79"/>
      <c r="R39" s="79"/>
      <c r="S39" s="79"/>
      <c r="T39" s="79"/>
      <c r="U39" s="79"/>
      <c r="V39" s="79"/>
      <c r="W39" s="79"/>
      <c r="X39" s="79"/>
      <c r="Y39" s="79"/>
    </row>
    <row r="40" spans="2:25" x14ac:dyDescent="0.25">
      <c r="B40" s="79"/>
      <c r="C40" s="79"/>
      <c r="D40" s="79"/>
      <c r="E40" s="79"/>
      <c r="F40" s="79"/>
      <c r="G40" s="79"/>
      <c r="H40" s="79"/>
      <c r="I40" s="79"/>
      <c r="J40" s="79"/>
      <c r="K40" s="79"/>
      <c r="L40" s="79"/>
      <c r="M40" s="79"/>
      <c r="N40" s="79"/>
      <c r="O40" s="79"/>
      <c r="P40" s="79"/>
      <c r="Q40" s="79"/>
      <c r="R40" s="79"/>
      <c r="S40" s="79"/>
      <c r="T40" s="79"/>
      <c r="U40" s="79"/>
      <c r="V40" s="79"/>
      <c r="W40" s="79"/>
      <c r="X40" s="79"/>
      <c r="Y40" s="79"/>
    </row>
    <row r="41" spans="2:25" x14ac:dyDescent="0.25">
      <c r="B41" s="79"/>
      <c r="C41" s="79"/>
      <c r="D41" s="79"/>
      <c r="E41" s="79"/>
      <c r="F41" s="79"/>
      <c r="G41" s="79"/>
      <c r="H41" s="79"/>
      <c r="I41" s="79"/>
      <c r="J41" s="79"/>
      <c r="K41" s="79"/>
      <c r="L41" s="79"/>
      <c r="M41" s="79"/>
      <c r="N41" s="79"/>
      <c r="O41" s="79"/>
      <c r="P41" s="79"/>
      <c r="Q41" s="79"/>
      <c r="R41" s="79"/>
      <c r="S41" s="79"/>
      <c r="T41" s="79"/>
      <c r="U41" s="79"/>
      <c r="V41" s="79"/>
      <c r="W41" s="79"/>
      <c r="X41" s="79"/>
      <c r="Y41" s="79"/>
    </row>
    <row r="42" spans="2:25" x14ac:dyDescent="0.25">
      <c r="B42" s="79"/>
      <c r="C42" s="79"/>
      <c r="D42" s="79"/>
      <c r="E42" s="79"/>
      <c r="F42" s="79"/>
      <c r="G42" s="79"/>
      <c r="H42" s="79"/>
      <c r="I42" s="79"/>
      <c r="J42" s="79"/>
      <c r="K42" s="79"/>
      <c r="L42" s="79"/>
      <c r="M42" s="79"/>
      <c r="N42" s="79"/>
      <c r="O42" s="79"/>
      <c r="P42" s="79"/>
      <c r="Q42" s="79"/>
      <c r="R42" s="79"/>
      <c r="S42" s="79"/>
      <c r="T42" s="79"/>
      <c r="U42" s="79"/>
      <c r="V42" s="79"/>
      <c r="W42" s="79"/>
      <c r="X42" s="79"/>
      <c r="Y42" s="79"/>
    </row>
    <row r="43" spans="2:25" x14ac:dyDescent="0.25">
      <c r="B43" s="79"/>
      <c r="C43" s="79"/>
      <c r="D43" s="79"/>
      <c r="E43" s="79"/>
      <c r="F43" s="79"/>
      <c r="G43" s="79"/>
      <c r="H43" s="79"/>
      <c r="I43" s="79"/>
      <c r="J43" s="79"/>
      <c r="K43" s="79"/>
      <c r="L43" s="79"/>
      <c r="M43" s="79"/>
      <c r="N43" s="79"/>
      <c r="O43" s="79"/>
      <c r="P43" s="79"/>
      <c r="Q43" s="79"/>
      <c r="R43" s="79"/>
      <c r="S43" s="79"/>
      <c r="T43" s="79"/>
      <c r="U43" s="79"/>
      <c r="V43" s="79"/>
      <c r="W43" s="79"/>
      <c r="X43" s="79"/>
      <c r="Y43" s="79"/>
    </row>
    <row r="44" spans="2:25" x14ac:dyDescent="0.25">
      <c r="B44" s="79"/>
      <c r="C44" s="79"/>
      <c r="D44" s="79"/>
      <c r="E44" s="79"/>
      <c r="F44" s="79"/>
      <c r="G44" s="79"/>
      <c r="H44" s="79"/>
      <c r="I44" s="79"/>
      <c r="J44" s="79"/>
      <c r="K44" s="79"/>
      <c r="L44" s="79"/>
      <c r="M44" s="79"/>
      <c r="N44" s="79"/>
      <c r="O44" s="79"/>
      <c r="P44" s="79"/>
      <c r="Q44" s="79"/>
      <c r="R44" s="79"/>
      <c r="S44" s="79"/>
      <c r="T44" s="79"/>
      <c r="U44" s="79"/>
      <c r="V44" s="79"/>
      <c r="W44" s="79"/>
      <c r="X44" s="79"/>
      <c r="Y44" s="79"/>
    </row>
    <row r="45" spans="2:25" x14ac:dyDescent="0.25">
      <c r="B45" s="79"/>
      <c r="C45" s="79"/>
      <c r="D45" s="79"/>
      <c r="E45" s="79"/>
      <c r="F45" s="79"/>
      <c r="G45" s="79"/>
      <c r="H45" s="79"/>
      <c r="I45" s="79"/>
      <c r="J45" s="79"/>
      <c r="K45" s="79"/>
      <c r="L45" s="79"/>
      <c r="M45" s="79"/>
      <c r="N45" s="79"/>
      <c r="O45" s="79"/>
      <c r="P45" s="79"/>
      <c r="Q45" s="79"/>
      <c r="R45" s="79"/>
      <c r="S45" s="79"/>
      <c r="T45" s="79"/>
      <c r="U45" s="79"/>
      <c r="V45" s="79"/>
      <c r="W45" s="79"/>
      <c r="X45" s="79"/>
      <c r="Y45" s="79"/>
    </row>
    <row r="46" spans="2:25" x14ac:dyDescent="0.25">
      <c r="B46" s="79"/>
      <c r="C46" s="79"/>
      <c r="D46" s="79"/>
      <c r="E46" s="79"/>
      <c r="F46" s="79"/>
      <c r="G46" s="79"/>
      <c r="H46" s="79"/>
      <c r="I46" s="79"/>
      <c r="J46" s="79"/>
      <c r="K46" s="79"/>
      <c r="L46" s="79"/>
      <c r="M46" s="79"/>
      <c r="N46" s="79"/>
      <c r="O46" s="79"/>
      <c r="P46" s="79"/>
      <c r="Q46" s="79"/>
      <c r="R46" s="79"/>
      <c r="S46" s="79"/>
      <c r="T46" s="79"/>
      <c r="U46" s="79"/>
      <c r="V46" s="79"/>
      <c r="W46" s="79"/>
      <c r="X46" s="79"/>
      <c r="Y46" s="79"/>
    </row>
    <row r="47" spans="2:25" x14ac:dyDescent="0.25">
      <c r="B47" s="79"/>
      <c r="C47" s="79"/>
      <c r="D47" s="79"/>
      <c r="E47" s="79"/>
      <c r="F47" s="79"/>
      <c r="G47" s="79"/>
      <c r="H47" s="79"/>
      <c r="I47" s="79"/>
      <c r="J47" s="79"/>
      <c r="K47" s="79"/>
      <c r="L47" s="79"/>
      <c r="M47" s="79"/>
      <c r="N47" s="79"/>
      <c r="O47" s="79"/>
      <c r="P47" s="79"/>
      <c r="Q47" s="79"/>
      <c r="R47" s="79"/>
      <c r="S47" s="79"/>
      <c r="T47" s="79"/>
      <c r="U47" s="79"/>
      <c r="V47" s="79"/>
      <c r="W47" s="79"/>
      <c r="X47" s="79"/>
      <c r="Y47" s="79"/>
    </row>
    <row r="48" spans="2:25" x14ac:dyDescent="0.25">
      <c r="B48" s="79"/>
      <c r="C48" s="79"/>
      <c r="D48" s="79"/>
      <c r="E48" s="79"/>
      <c r="F48" s="79"/>
      <c r="G48" s="79"/>
      <c r="H48" s="79"/>
      <c r="I48" s="79"/>
      <c r="J48" s="79"/>
      <c r="K48" s="79"/>
      <c r="L48" s="79"/>
      <c r="M48" s="79"/>
      <c r="N48" s="79"/>
      <c r="O48" s="79"/>
      <c r="P48" s="79"/>
      <c r="Q48" s="79"/>
      <c r="R48" s="79"/>
      <c r="S48" s="79"/>
      <c r="T48" s="79"/>
      <c r="U48" s="79"/>
      <c r="V48" s="79"/>
      <c r="W48" s="79"/>
      <c r="X48" s="79"/>
      <c r="Y48" s="79"/>
    </row>
    <row r="49" spans="2:25" x14ac:dyDescent="0.25">
      <c r="B49" s="79"/>
      <c r="C49" s="79"/>
      <c r="D49" s="79"/>
      <c r="E49" s="79"/>
      <c r="F49" s="79"/>
      <c r="G49" s="79"/>
      <c r="H49" s="79"/>
      <c r="I49" s="79"/>
      <c r="J49" s="79"/>
      <c r="K49" s="79"/>
      <c r="L49" s="79"/>
      <c r="M49" s="79"/>
      <c r="N49" s="79"/>
      <c r="O49" s="79"/>
      <c r="P49" s="79"/>
      <c r="Q49" s="79"/>
      <c r="R49" s="79"/>
      <c r="S49" s="79"/>
      <c r="T49" s="79"/>
      <c r="U49" s="79"/>
      <c r="V49" s="79"/>
      <c r="W49" s="79"/>
      <c r="X49" s="79"/>
      <c r="Y49" s="79"/>
    </row>
    <row r="50" spans="2:25" x14ac:dyDescent="0.25">
      <c r="B50" s="79"/>
      <c r="C50" s="79"/>
      <c r="D50" s="79"/>
      <c r="E50" s="79"/>
      <c r="F50" s="79"/>
      <c r="G50" s="79"/>
      <c r="H50" s="79"/>
      <c r="I50" s="79"/>
      <c r="J50" s="79"/>
      <c r="K50" s="79"/>
      <c r="L50" s="79"/>
      <c r="M50" s="79"/>
      <c r="N50" s="79"/>
      <c r="O50" s="79"/>
      <c r="P50" s="79"/>
      <c r="Q50" s="79"/>
      <c r="R50" s="79"/>
      <c r="S50" s="79"/>
      <c r="T50" s="79"/>
      <c r="U50" s="79"/>
      <c r="V50" s="79"/>
      <c r="W50" s="79"/>
      <c r="X50" s="79"/>
      <c r="Y50" s="79"/>
    </row>
    <row r="51" spans="2:25" x14ac:dyDescent="0.25">
      <c r="B51" s="79"/>
      <c r="C51" s="79"/>
      <c r="D51" s="79"/>
      <c r="E51" s="79"/>
      <c r="F51" s="79"/>
      <c r="G51" s="79"/>
      <c r="H51" s="79"/>
      <c r="I51" s="79"/>
      <c r="J51" s="79"/>
      <c r="K51" s="79"/>
      <c r="L51" s="79"/>
      <c r="M51" s="79"/>
      <c r="N51" s="79"/>
      <c r="O51" s="79"/>
      <c r="P51" s="79"/>
      <c r="Q51" s="79"/>
      <c r="R51" s="79"/>
      <c r="S51" s="79"/>
      <c r="T51" s="79"/>
      <c r="U51" s="79"/>
      <c r="V51" s="79"/>
      <c r="W51" s="79"/>
      <c r="X51" s="79"/>
      <c r="Y51" s="79"/>
    </row>
    <row r="52" spans="2:25" x14ac:dyDescent="0.25">
      <c r="B52" s="79"/>
      <c r="C52" s="79"/>
      <c r="D52" s="79"/>
      <c r="E52" s="79"/>
      <c r="F52" s="79"/>
      <c r="G52" s="79"/>
      <c r="H52" s="79"/>
      <c r="I52" s="79"/>
      <c r="J52" s="79"/>
      <c r="K52" s="79"/>
      <c r="L52" s="79"/>
      <c r="M52" s="79"/>
      <c r="N52" s="79"/>
      <c r="O52" s="79"/>
      <c r="P52" s="79"/>
      <c r="Q52" s="79"/>
      <c r="R52" s="79"/>
      <c r="S52" s="79"/>
      <c r="T52" s="79"/>
      <c r="U52" s="79"/>
      <c r="V52" s="79"/>
      <c r="W52" s="79"/>
      <c r="X52" s="79"/>
      <c r="Y52" s="79"/>
    </row>
    <row r="53" spans="2:25" x14ac:dyDescent="0.25">
      <c r="B53" s="79"/>
      <c r="C53" s="79"/>
      <c r="D53" s="79"/>
      <c r="E53" s="79"/>
      <c r="F53" s="79"/>
      <c r="G53" s="79"/>
      <c r="H53" s="79"/>
      <c r="I53" s="79"/>
      <c r="J53" s="79"/>
      <c r="K53" s="79"/>
      <c r="L53" s="79"/>
      <c r="M53" s="79"/>
      <c r="N53" s="79"/>
      <c r="O53" s="79"/>
      <c r="P53" s="79"/>
      <c r="Q53" s="79"/>
      <c r="R53" s="79"/>
      <c r="S53" s="79"/>
      <c r="T53" s="79"/>
      <c r="U53" s="79"/>
      <c r="V53" s="79"/>
      <c r="W53" s="79"/>
      <c r="X53" s="79"/>
      <c r="Y53" s="79"/>
    </row>
    <row r="54" spans="2:25" x14ac:dyDescent="0.25">
      <c r="B54" s="79"/>
      <c r="C54" s="79"/>
      <c r="D54" s="79"/>
      <c r="E54" s="79"/>
      <c r="F54" s="79"/>
      <c r="G54" s="79"/>
      <c r="H54" s="79"/>
      <c r="I54" s="79"/>
      <c r="J54" s="79"/>
      <c r="K54" s="79"/>
      <c r="L54" s="79"/>
      <c r="M54" s="79"/>
      <c r="N54" s="79"/>
      <c r="O54" s="79"/>
      <c r="P54" s="79"/>
      <c r="Q54" s="79"/>
      <c r="R54" s="79"/>
      <c r="S54" s="79"/>
      <c r="T54" s="79"/>
      <c r="U54" s="79"/>
      <c r="V54" s="79"/>
      <c r="W54" s="79"/>
      <c r="X54" s="79"/>
      <c r="Y54" s="79"/>
    </row>
    <row r="55" spans="2:25" x14ac:dyDescent="0.25">
      <c r="B55" s="79"/>
      <c r="C55" s="79"/>
      <c r="D55" s="79"/>
      <c r="E55" s="79"/>
      <c r="F55" s="79"/>
      <c r="G55" s="79"/>
      <c r="H55" s="79"/>
      <c r="I55" s="79"/>
      <c r="J55" s="79"/>
      <c r="K55" s="79"/>
      <c r="L55" s="79"/>
      <c r="M55" s="79"/>
      <c r="N55" s="79"/>
      <c r="O55" s="79"/>
      <c r="P55" s="79"/>
      <c r="Q55" s="79"/>
      <c r="R55" s="79"/>
      <c r="S55" s="79"/>
      <c r="T55" s="79"/>
      <c r="U55" s="79"/>
      <c r="V55" s="79"/>
      <c r="W55" s="79"/>
      <c r="X55" s="79"/>
      <c r="Y55" s="79"/>
    </row>
    <row r="56" spans="2:25" x14ac:dyDescent="0.25">
      <c r="B56" s="79"/>
      <c r="C56" s="79"/>
      <c r="D56" s="79"/>
      <c r="E56" s="79"/>
      <c r="F56" s="79"/>
      <c r="G56" s="79"/>
      <c r="H56" s="79"/>
      <c r="I56" s="79"/>
      <c r="J56" s="79"/>
      <c r="K56" s="79"/>
      <c r="L56" s="79"/>
      <c r="M56" s="79"/>
      <c r="N56" s="79"/>
      <c r="O56" s="79"/>
      <c r="P56" s="79"/>
      <c r="Q56" s="79"/>
      <c r="R56" s="79"/>
      <c r="S56" s="79"/>
      <c r="T56" s="79"/>
      <c r="U56" s="79"/>
      <c r="V56" s="79"/>
      <c r="W56" s="79"/>
      <c r="X56" s="79"/>
      <c r="Y56" s="79"/>
    </row>
  </sheetData>
  <sheetProtection algorithmName="SHA-512" hashValue="NncbVfb0xaP0/t3T1Jl5rHzHFE8U1WuHqPYKcOuXbXulTHFD4mybsW2Vm+6IUDklwXsB0bpYFdciQ0zyzUyHpA==" saltValue="Bu9P2ckgbyjCatCi/cU2WQ==" spinCount="100000" sheet="1" objects="1" scenarios="1"/>
  <mergeCells count="16">
    <mergeCell ref="B25:G25"/>
    <mergeCell ref="K25:K27"/>
    <mergeCell ref="H25:I25"/>
    <mergeCell ref="L30:X31"/>
    <mergeCell ref="L16:X17"/>
    <mergeCell ref="B22:C22"/>
    <mergeCell ref="D22:G22"/>
    <mergeCell ref="B26:G26"/>
    <mergeCell ref="K20:K21"/>
    <mergeCell ref="K22:K23"/>
    <mergeCell ref="L20:W21"/>
    <mergeCell ref="B24:G24"/>
    <mergeCell ref="H24:I24"/>
    <mergeCell ref="L25:W27"/>
    <mergeCell ref="L22:W22"/>
    <mergeCell ref="H26:I26"/>
  </mergeCells>
  <conditionalFormatting sqref="B18:X19 B20:W21 B34:X56 B33:H33 J33:X33 X22 B21:J24 L24 B27:J27 B28:X32 X27 B25:W27">
    <cfRule type="expression" dxfId="19" priority="17">
      <formula>$I$16&lt;=par_Zuschuss_EBITDAgrenze</formula>
    </cfRule>
  </conditionalFormatting>
  <conditionalFormatting sqref="L16:X17">
    <cfRule type="cellIs" dxfId="18" priority="18" operator="equal">
      <formula>"Der mögliche Gesamtzuschuss liegt unter der betragsmäßigen Untergrenze von EUR 2.000,- ."</formula>
    </cfRule>
  </conditionalFormatting>
  <conditionalFormatting sqref="L30:X31">
    <cfRule type="cellIs" dxfId="17" priority="13" operator="equal">
      <formula>"Der mögliche Gesamtzuschuss liegt unter der betragsmäßigen Untergrenze von EUR 2.000,- ."</formula>
    </cfRule>
  </conditionalFormatting>
  <conditionalFormatting sqref="K16:X17">
    <cfRule type="expression" dxfId="16" priority="11">
      <formula>$Y$16=1</formula>
    </cfRule>
  </conditionalFormatting>
  <conditionalFormatting sqref="K20">
    <cfRule type="expression" dxfId="15" priority="10">
      <formula>$Y$16=1</formula>
    </cfRule>
  </conditionalFormatting>
  <conditionalFormatting sqref="K22:L22">
    <cfRule type="expression" dxfId="14" priority="8">
      <formula>$I$16&lt;=par_Zuschuss_EBITDAgrenze</formula>
    </cfRule>
  </conditionalFormatting>
  <conditionalFormatting sqref="K22">
    <cfRule type="expression" dxfId="13" priority="9">
      <formula>$Y$16=1</formula>
    </cfRule>
  </conditionalFormatting>
  <conditionalFormatting sqref="B24:I24 K22:W23">
    <cfRule type="expression" dxfId="12" priority="4">
      <formula>ISNUMBER(SEARCH("EBITDA-Absenkungsmethode",$D$22))</formula>
    </cfRule>
  </conditionalFormatting>
  <conditionalFormatting sqref="L24">
    <cfRule type="expression" dxfId="11" priority="1">
      <formula>ISNUMBER(SEARCH("EBITDA-Absenkungsmethode",$D$22))</formula>
    </cfRule>
    <cfRule type="expression" dxfId="10" priority="3">
      <formula>$H$24&lt;0</formula>
    </cfRule>
  </conditionalFormatting>
  <conditionalFormatting sqref="B25:W27">
    <cfRule type="expression" dxfId="9" priority="2">
      <formula>ISNUMBER(SEARCH("Betriebsverlustmethode",$D$22))</formula>
    </cfRule>
  </conditionalFormatting>
  <dataValidations count="4">
    <dataValidation type="list" allowBlank="1" showInputMessage="1" showErrorMessage="1" sqref="D22" xr:uid="{30ECF739-E6A4-446E-A249-79CD47593603}">
      <formula1>Auswahl_EBITDA</formula1>
    </dataValidation>
    <dataValidation type="decimal" allowBlank="1" showInputMessage="1" showErrorMessage="1" errorTitle="Bitte beachten Sie" error="Bitte erfassen Sie das Ergebnis vor Zinsen, Steuern und Abschreibungen ohne einmalige Wertminderungen (EBITDA) der Periode. Der Betriebsverlust ist als negativer Betrag einzugeben (- Minusvorzeichen)." sqref="H24:I24" xr:uid="{BBDB3AD9-4773-459E-9316-1C91859F3988}">
      <formula1>-9999999999999990</formula1>
      <formula2>-0.01</formula2>
    </dataValidation>
    <dataValidation type="decimal" allowBlank="1" showInputMessage="1" showErrorMessage="1" sqref="H25:I25" xr:uid="{241E430E-8444-4D46-8DEF-7F3B30DA995D}">
      <formula1>0</formula1>
      <formula2>9.99999999999999E+28</formula2>
    </dataValidation>
    <dataValidation type="decimal" allowBlank="1" showInputMessage="1" showErrorMessage="1" sqref="H26:I26" xr:uid="{90FA4186-A39B-4A1B-B7F8-E6DB0A7EA576}">
      <formula1>-999999999999999000</formula1>
      <formula2>99999999999999900000</formula2>
    </dataValidation>
  </dataValidations>
  <pageMargins left="0.7" right="0.7" top="0.78740157499999996" bottom="0.78740157499999996" header="0.3" footer="0.3"/>
  <pageSetup paperSize="9" scale="31" orientation="portrait" r:id="rId1"/>
  <ignoredErrors>
    <ignoredError sqref="L13 B25"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tabColor rgb="FFD9E1F2"/>
  </sheetPr>
  <dimension ref="A1:E22"/>
  <sheetViews>
    <sheetView workbookViewId="0">
      <selection activeCell="B6" sqref="B6"/>
    </sheetView>
  </sheetViews>
  <sheetFormatPr baseColWidth="10" defaultColWidth="11.42578125" defaultRowHeight="15" x14ac:dyDescent="0.25"/>
  <cols>
    <col min="1" max="1" width="42.28515625" customWidth="1"/>
    <col min="2" max="2" width="77.7109375" customWidth="1"/>
    <col min="3" max="3" width="4.85546875" customWidth="1"/>
  </cols>
  <sheetData>
    <row r="1" spans="1:5" x14ac:dyDescent="0.25">
      <c r="A1" t="s">
        <v>40</v>
      </c>
      <c r="B1" t="s">
        <v>41</v>
      </c>
      <c r="D1" t="s">
        <v>42</v>
      </c>
      <c r="E1" t="s">
        <v>41</v>
      </c>
    </row>
    <row r="2" spans="1:5" x14ac:dyDescent="0.25">
      <c r="A2" s="66" t="s">
        <v>43</v>
      </c>
      <c r="B2" s="67">
        <f>ROUND(MIN('2 - Strom Erdgas Wärme Förderj.'!H13,1000000)+'2 - Strom Erdgas Wärme Förderj.'!H14,0)</f>
        <v>0</v>
      </c>
      <c r="D2" s="66" t="s">
        <v>44</v>
      </c>
      <c r="E2" s="66">
        <v>100000000</v>
      </c>
    </row>
    <row r="3" spans="1:5" x14ac:dyDescent="0.25">
      <c r="A3" s="66" t="s">
        <v>45</v>
      </c>
      <c r="B3" s="67">
        <f>ROUND('2 - Strom Erdgas Wärme Förderj.'!H17,4)</f>
        <v>0</v>
      </c>
      <c r="D3" s="66" t="s">
        <v>46</v>
      </c>
      <c r="E3" s="291" t="s">
        <v>252</v>
      </c>
    </row>
    <row r="4" spans="1:5" x14ac:dyDescent="0.25">
      <c r="A4" s="66" t="s">
        <v>47</v>
      </c>
      <c r="B4" s="67">
        <f>ROUND('2 - Strom Erdgas Wärme Förderj.'!H18,4)</f>
        <v>0</v>
      </c>
      <c r="D4" s="66" t="s">
        <v>1</v>
      </c>
      <c r="E4" s="68" t="s">
        <v>84</v>
      </c>
    </row>
    <row r="5" spans="1:5" x14ac:dyDescent="0.25">
      <c r="A5" s="66" t="s">
        <v>48</v>
      </c>
      <c r="B5" s="67">
        <f>ROUND(MIN('2 - Strom Erdgas Wärme Förderj.'!H22,1000000)+'2 - Strom Erdgas Wärme Förderj.'!H23,0)</f>
        <v>0</v>
      </c>
    </row>
    <row r="6" spans="1:5" x14ac:dyDescent="0.25">
      <c r="A6" s="66" t="s">
        <v>49</v>
      </c>
      <c r="B6" s="67">
        <f>ROUND('2 - Strom Erdgas Wärme Förderj.'!H26,4)</f>
        <v>0</v>
      </c>
    </row>
    <row r="7" spans="1:5" x14ac:dyDescent="0.25">
      <c r="A7" s="66" t="s">
        <v>50</v>
      </c>
      <c r="B7" s="67">
        <f>ROUND('2 - Strom Erdgas Wärme Förderj.'!H27,4)</f>
        <v>0</v>
      </c>
    </row>
    <row r="8" spans="1:5" x14ac:dyDescent="0.25">
      <c r="A8" s="66" t="s">
        <v>51</v>
      </c>
      <c r="B8" s="80">
        <f>ROUND('3 - Treibstoffe'!C28,0)</f>
        <v>0</v>
      </c>
    </row>
    <row r="9" spans="1:5" x14ac:dyDescent="0.25">
      <c r="A9" s="66" t="s">
        <v>52</v>
      </c>
      <c r="B9" s="81">
        <f>ROUND('3 - Treibstoffe'!C29,4)</f>
        <v>0</v>
      </c>
    </row>
    <row r="10" spans="1:5" x14ac:dyDescent="0.25">
      <c r="A10" s="69" t="s">
        <v>57</v>
      </c>
      <c r="B10" s="70">
        <f>ROUND(MIN('2 - Strom Erdgas Wärme Förderj.'!H31,1000000)+'2 - Strom Erdgas Wärme Förderj.'!H32,0)</f>
        <v>0</v>
      </c>
    </row>
    <row r="11" spans="1:5" x14ac:dyDescent="0.25">
      <c r="A11" s="69" t="s">
        <v>59</v>
      </c>
      <c r="B11" s="70">
        <f>ROUND('2 - Strom Erdgas Wärme Förderj.'!H36,4)</f>
        <v>0</v>
      </c>
    </row>
    <row r="12" spans="1:5" x14ac:dyDescent="0.25">
      <c r="A12" s="69" t="s">
        <v>58</v>
      </c>
      <c r="B12" s="70">
        <f>ROUND('2 - Strom Erdgas Wärme Förderj.'!H37,4)</f>
        <v>0</v>
      </c>
    </row>
    <row r="13" spans="1:5" x14ac:dyDescent="0.25">
      <c r="A13" s="69" t="s">
        <v>60</v>
      </c>
      <c r="B13" s="76">
        <f>ROUND('2 - Strom Erdgas Wärme Förderj.'!H34,2)</f>
        <v>0</v>
      </c>
    </row>
    <row r="14" spans="1:5" x14ac:dyDescent="0.25">
      <c r="A14" s="66" t="s">
        <v>169</v>
      </c>
      <c r="B14" s="67">
        <f>ROUND('4 - Heizöl_Holzpellets_Hacksch.'!E44,0)</f>
        <v>0</v>
      </c>
    </row>
    <row r="15" spans="1:5" x14ac:dyDescent="0.25">
      <c r="A15" s="66" t="s">
        <v>170</v>
      </c>
      <c r="B15" s="67">
        <f>ROUND('4 - Heizöl_Holzpellets_Hacksch.'!E20,4)</f>
        <v>0</v>
      </c>
    </row>
    <row r="16" spans="1:5" x14ac:dyDescent="0.25">
      <c r="A16" s="66" t="s">
        <v>171</v>
      </c>
      <c r="B16" s="67">
        <f>ROUND('4 - Heizöl_Holzpellets_Hacksch.'!E33,4)</f>
        <v>0</v>
      </c>
    </row>
    <row r="17" spans="1:2" x14ac:dyDescent="0.25">
      <c r="A17" s="66" t="s">
        <v>172</v>
      </c>
      <c r="B17" s="67">
        <f>ROUND('4 - Heizöl_Holzpellets_Hacksch.'!E45,4)</f>
        <v>0</v>
      </c>
    </row>
    <row r="18" spans="1:2" x14ac:dyDescent="0.25">
      <c r="A18" s="66" t="s">
        <v>173</v>
      </c>
      <c r="B18" s="67">
        <f>ROUND('4 - Heizöl_Holzpellets_Hacksch.'!E24,4)</f>
        <v>0</v>
      </c>
    </row>
    <row r="19" spans="1:2" x14ac:dyDescent="0.25">
      <c r="A19" s="66" t="s">
        <v>174</v>
      </c>
      <c r="B19" s="67">
        <f>ROUND('4 - Heizöl_Holzpellets_Hacksch.'!E37,4)</f>
        <v>0</v>
      </c>
    </row>
    <row r="20" spans="1:2" x14ac:dyDescent="0.25">
      <c r="A20" s="66" t="s">
        <v>175</v>
      </c>
      <c r="B20" s="67">
        <f>ROUND('4 - Heizöl_Holzpellets_Hacksch.'!E46,4)</f>
        <v>0</v>
      </c>
    </row>
    <row r="21" spans="1:2" x14ac:dyDescent="0.25">
      <c r="A21" s="66" t="s">
        <v>176</v>
      </c>
      <c r="B21" s="67">
        <f>ROUND('4 - Heizöl_Holzpellets_Hacksch.'!E25,4)</f>
        <v>0</v>
      </c>
    </row>
    <row r="22" spans="1:2" x14ac:dyDescent="0.25">
      <c r="A22" s="66" t="s">
        <v>177</v>
      </c>
      <c r="B22" s="67">
        <f>ROUND('4 - Heizöl_Holzpellets_Hacksch.'!E38,4)</f>
        <v>0</v>
      </c>
    </row>
  </sheetData>
  <sheetProtection algorithmName="SHA-512" hashValue="tXMFb2HI8Zj2ebLEECrfpjS7t2jNU3Qi3NNk02IfLSwxA+/ovE4zDWaQpGmsF/iP/27PdW7fy1nCTlSYlzqtzQ==" saltValue="neBbwKxSZeDc246ALkJ7sw==" spinCount="100000" sheet="1" objects="1" scenarios="1"/>
  <pageMargins left="0.7" right="0.7" top="0.78740157499999996" bottom="0.78740157499999996"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X16"/>
  <sheetViews>
    <sheetView zoomScale="80" zoomScaleNormal="80" workbookViewId="0">
      <selection activeCell="R67" sqref="R67"/>
    </sheetView>
  </sheetViews>
  <sheetFormatPr baseColWidth="10" defaultColWidth="11.42578125" defaultRowHeight="16.5" x14ac:dyDescent="0.3"/>
  <cols>
    <col min="23" max="24" width="11.42578125" style="1"/>
  </cols>
  <sheetData>
    <row r="1" spans="1:22" x14ac:dyDescent="0.3">
      <c r="B1" s="11"/>
      <c r="C1" s="11"/>
      <c r="D1" s="11"/>
      <c r="E1" s="11"/>
      <c r="F1" s="11"/>
      <c r="G1" s="11"/>
      <c r="H1" s="11"/>
      <c r="I1" s="11"/>
      <c r="J1" s="11"/>
      <c r="K1" s="11"/>
      <c r="L1" s="11"/>
      <c r="M1" s="11"/>
      <c r="N1" s="11"/>
      <c r="O1" s="11"/>
      <c r="P1" s="11"/>
      <c r="Q1" s="11"/>
      <c r="R1" s="11"/>
      <c r="S1" s="11"/>
      <c r="T1" s="11"/>
      <c r="U1" s="11"/>
      <c r="V1" s="11"/>
    </row>
    <row r="2" spans="1:22" s="1" customFormat="1" ht="19.5" thickBot="1" x14ac:dyDescent="0.45">
      <c r="A2"/>
      <c r="B2" s="2" t="s">
        <v>6</v>
      </c>
      <c r="C2" s="3"/>
      <c r="D2" s="3"/>
      <c r="E2" s="3"/>
      <c r="F2" s="3"/>
      <c r="G2" s="3"/>
      <c r="H2" s="3"/>
      <c r="I2" s="45">
        <f>par_FZ_SEW_Start</f>
        <v>44927</v>
      </c>
      <c r="J2" s="45">
        <f>EOMONTH(I2,0)+1</f>
        <v>44958</v>
      </c>
      <c r="K2" s="45">
        <f t="shared" ref="K2:N2" si="0">EOMONTH(J2,0)+1</f>
        <v>44986</v>
      </c>
      <c r="L2" s="45">
        <f t="shared" si="0"/>
        <v>45017</v>
      </c>
      <c r="M2" s="45">
        <f t="shared" si="0"/>
        <v>45047</v>
      </c>
      <c r="N2" s="45">
        <f t="shared" si="0"/>
        <v>45078</v>
      </c>
      <c r="O2" s="3"/>
      <c r="P2" s="8"/>
      <c r="Q2" s="8"/>
      <c r="R2" s="8"/>
      <c r="S2" s="8"/>
      <c r="T2" s="8"/>
      <c r="U2" s="8"/>
      <c r="V2" s="3"/>
    </row>
    <row r="3" spans="1:22" s="1" customFormat="1" ht="17.25" thickBot="1" x14ac:dyDescent="0.35">
      <c r="A3"/>
      <c r="B3" s="3" t="s">
        <v>20</v>
      </c>
      <c r="C3" s="3"/>
      <c r="D3" s="3"/>
      <c r="E3" s="3"/>
      <c r="F3" s="3"/>
      <c r="G3" s="3"/>
      <c r="H3" s="84" t="s">
        <v>87</v>
      </c>
      <c r="I3" s="14"/>
      <c r="J3" s="15"/>
      <c r="K3" s="15"/>
      <c r="L3" s="15"/>
      <c r="M3" s="15"/>
      <c r="N3" s="15"/>
      <c r="O3" s="4" t="s">
        <v>4</v>
      </c>
      <c r="P3" s="3" t="s">
        <v>21</v>
      </c>
      <c r="Q3" s="8"/>
      <c r="R3" s="8"/>
      <c r="S3" s="8"/>
      <c r="T3" s="8"/>
      <c r="U3" s="8"/>
      <c r="V3" s="3"/>
    </row>
    <row r="4" spans="1:22" s="1" customFormat="1" ht="17.25" thickBot="1" x14ac:dyDescent="0.35">
      <c r="A4"/>
      <c r="B4" s="3" t="s">
        <v>8</v>
      </c>
      <c r="C4" s="3"/>
      <c r="D4" s="3"/>
      <c r="E4" s="3"/>
      <c r="F4" s="3"/>
      <c r="G4" s="3"/>
      <c r="H4" s="19"/>
      <c r="I4" s="14"/>
      <c r="J4" s="15"/>
      <c r="K4" s="15"/>
      <c r="L4" s="15"/>
      <c r="M4" s="15"/>
      <c r="N4" s="15"/>
      <c r="O4" s="4"/>
      <c r="P4" s="3"/>
      <c r="Q4" s="8"/>
      <c r="R4" s="8"/>
      <c r="S4" s="8"/>
      <c r="T4" s="8"/>
      <c r="U4" s="8"/>
      <c r="V4" s="3"/>
    </row>
    <row r="5" spans="1:22" s="1" customFormat="1" ht="17.25" thickBot="1" x14ac:dyDescent="0.35">
      <c r="A5"/>
      <c r="B5" s="3" t="s">
        <v>10</v>
      </c>
      <c r="C5" s="3"/>
      <c r="D5" s="3"/>
      <c r="E5" s="3"/>
      <c r="F5" s="3"/>
      <c r="G5" s="3"/>
      <c r="H5" s="20"/>
      <c r="I5" s="16"/>
      <c r="J5" s="17"/>
      <c r="K5" s="17"/>
      <c r="L5" s="17"/>
      <c r="M5" s="17"/>
      <c r="N5" s="17"/>
      <c r="O5" s="4" t="s">
        <v>4</v>
      </c>
      <c r="P5" s="3" t="s">
        <v>11</v>
      </c>
      <c r="Q5" s="8"/>
      <c r="R5" s="8"/>
      <c r="S5" s="8"/>
      <c r="T5" s="8"/>
      <c r="U5" s="8"/>
      <c r="V5" s="3"/>
    </row>
    <row r="6" spans="1:22" s="1" customFormat="1" ht="17.25" thickBot="1" x14ac:dyDescent="0.35">
      <c r="A6"/>
      <c r="B6" s="3" t="str">
        <f>IF(H5="Erdgas","Arbeitspreis pro kWh Erdgas in EUR",IF(H5="Strom","Arbeitspreis pro kWh Strom in EUR",IF(H5="Wärme/Kälte","Arbeitspreis pro kWh Wärme-/Kälteverbrauch in EUR","Bitte Energieart auswählen!")))</f>
        <v>Bitte Energieart auswählen!</v>
      </c>
      <c r="C6" s="3"/>
      <c r="D6" s="3"/>
      <c r="E6" s="3"/>
      <c r="F6" s="3"/>
      <c r="G6" s="13">
        <f>IFERROR(SUMPRODUCT(I6:N6,I7:N7),"")</f>
        <v>0</v>
      </c>
      <c r="H6" s="3"/>
      <c r="I6" s="21"/>
      <c r="J6" s="21"/>
      <c r="K6" s="21"/>
      <c r="L6" s="21"/>
      <c r="M6" s="21"/>
      <c r="N6" s="21"/>
      <c r="O6" s="4" t="s">
        <v>4</v>
      </c>
      <c r="P6" s="3" t="str">
        <f>IF(H5="Erdgas","Erdgaskosten exkl. Steuern, Abgaben, Netzentgelte, etc.","Stromkosten exkl. Steuern, Abgaben, Netzentgelte, etc.")</f>
        <v>Stromkosten exkl. Steuern, Abgaben, Netzentgelte, etc.</v>
      </c>
      <c r="Q6" s="3"/>
      <c r="R6" s="3"/>
      <c r="S6" s="9"/>
      <c r="T6" s="6"/>
      <c r="U6" s="7"/>
      <c r="V6" s="3"/>
    </row>
    <row r="7" spans="1:22" s="1" customFormat="1" ht="17.25" thickBot="1" x14ac:dyDescent="0.35">
      <c r="A7"/>
      <c r="B7" s="3" t="str">
        <f>IF(AND(H5="Erdgas",H4="Nein"),"Aliquoter Erdgasverbrauch in kWh von 1. Oktober 2022 bis 31. Dezember 2022",IF(H5="Erdgas","Erdgasverbrauch in kWh von 1. Oktober 2022 bis 31. Dezember 2022",IF(AND(H5="Strom",H4="Nein"),"Aliquoter Stromverbrauch in kWh von 1. Oktober 2022 bis 31. Dezember 2022",IF(H5="Strom","Stromverbrauch in kWh von 1. Oktober 2022 bis 31. Dezember 2022",IF(AND(H5="Wärme/Kälte",H4="Nein"),"Aliquoter Wärme-/Kälteverbrauch in kWh von 1. Oktober 2022 bis 31. Dezember 2022",IF(H5="Wärme/Kälte","Wärme-/Kälteverbrauch in kWh von 1. Oktober 2022 bis 31. Dezember 2022","Bitte Energieart auswählen!"))))))</f>
        <v>Bitte Energieart auswählen!</v>
      </c>
      <c r="C7" s="3"/>
      <c r="D7" s="3"/>
      <c r="E7" s="3"/>
      <c r="F7" s="3"/>
      <c r="G7" s="3"/>
      <c r="H7" s="18">
        <f>SUM(I7:N7)</f>
        <v>0</v>
      </c>
      <c r="I7" s="22" t="str">
        <f>IFERROR(IF(H4="Nein",VLOOKUP(H3,'1 - Strom Erdgas Wärme Vgl'!H:AA,20,FALSE)/12,""),"")</f>
        <v/>
      </c>
      <c r="J7" s="22" t="str">
        <f>IFERROR(IF(H4="Nein",VLOOKUP(H3,'1 - Strom Erdgas Wärme Vgl'!H:AA,20,FALSE)/12,""),"")</f>
        <v/>
      </c>
      <c r="K7" s="22" t="str">
        <f>IFERROR(IF(I4="Nein",VLOOKUP(I3,'1 - Strom Erdgas Wärme Vgl'!I:AB,20,FALSE)/12,""),"")</f>
        <v/>
      </c>
      <c r="L7" s="22" t="str">
        <f>IFERROR(IF(J4="Nein",VLOOKUP(J3,'1 - Strom Erdgas Wärme Vgl'!J:AC,20,FALSE)/12,""),"")</f>
        <v/>
      </c>
      <c r="M7" s="22" t="str">
        <f>IFERROR(IF(K4="Nein",VLOOKUP(K3,'1 - Strom Erdgas Wärme Vgl'!K:AD,20,FALSE)/12,""),"")</f>
        <v/>
      </c>
      <c r="N7" s="22" t="str">
        <f>IFERROR(IF(H4="Nein",VLOOKUP(H3,'1 - Strom Erdgas Wärme Vgl'!H:AA,12,FALSE)/12,""),"")</f>
        <v/>
      </c>
      <c r="O7" s="4" t="s">
        <v>4</v>
      </c>
      <c r="P7" s="23" t="str">
        <f>IFERROR(IF(H4="Nein","Vorbefüllte Verbrauchswerte wurden aliquot (d.h. 1/12) aus dem Jahr 2021 übernommen.","Bitte ergänzen Sie die monatlichen Verbrauchswerte gem. Lastprofilzähler"),"")</f>
        <v>Bitte ergänzen Sie die monatlichen Verbrauchswerte gem. Lastprofilzähler</v>
      </c>
      <c r="Q7" s="24"/>
      <c r="R7" s="24"/>
      <c r="S7" s="24"/>
      <c r="T7" s="24"/>
      <c r="U7" s="24"/>
      <c r="V7" s="24"/>
    </row>
    <row r="8" spans="1:22" s="1" customFormat="1" x14ac:dyDescent="0.3">
      <c r="A8"/>
      <c r="B8" s="3"/>
      <c r="C8" s="3"/>
      <c r="D8" s="3"/>
      <c r="E8" s="3"/>
      <c r="F8" s="3"/>
      <c r="G8" s="3"/>
      <c r="H8" s="12"/>
      <c r="I8" s="5"/>
      <c r="J8" s="5"/>
      <c r="K8" s="5"/>
      <c r="L8" s="5"/>
      <c r="M8" s="5"/>
      <c r="N8" s="5"/>
      <c r="O8" s="10"/>
      <c r="P8" s="24"/>
      <c r="Q8" s="24"/>
      <c r="R8" s="24"/>
      <c r="S8" s="24"/>
      <c r="T8" s="24"/>
      <c r="U8" s="24"/>
      <c r="V8" s="24"/>
    </row>
    <row r="16" spans="1:22" ht="13.15" customHeight="1" x14ac:dyDescent="0.3"/>
  </sheetData>
  <dataValidations count="3">
    <dataValidation type="list" operator="equal" allowBlank="1" showErrorMessage="1" errorTitle="Achtung" error="Bitte wählen Sie Ja oder Nein." sqref="H4" xr:uid="{C2CE265A-8EA7-4D93-88C5-C0DCFBF58201}">
      <formula1>Auswahl_JaNein</formula1>
    </dataValidation>
    <dataValidation type="textLength" allowBlank="1" showErrorMessage="1" errorTitle="Achtung" error="Bitte geben Sie nur die letzten vier Stellen Ihrer Zählpunktnummer an." sqref="H3" xr:uid="{5C561C77-9E76-40BF-8748-D2BCDCA2F2D3}">
      <formula1>4</formula1>
      <formula2>4</formula2>
    </dataValidation>
    <dataValidation type="list" allowBlank="1" showInputMessage="1" showErrorMessage="1" errorTitle="Achtung" error="Bitte wählen Sie eine gültige Energieart aus." sqref="H5" xr:uid="{45E3C47F-8539-44DB-884F-DDCE85C3F7D2}">
      <formula1>Auswahl_Energieart</formula1>
    </dataValidation>
  </dataValidations>
  <pageMargins left="0.7" right="0.7" top="0.78740157499999996" bottom="0.78740157499999996" header="0.3" footer="0.3"/>
  <pageSetup paperSize="9" orientation="portrait" r:id="rId1"/>
  <ignoredErrors>
    <ignoredError sqref="H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16c1a68-7abd-48ef-b484-7d54634ec3d5">
      <Terms xmlns="http://schemas.microsoft.com/office/infopath/2007/PartnerControls"/>
    </lcf76f155ced4ddcb4097134ff3c332f>
    <TaxCatchAll xmlns="0c00c5cf-c319-4f5a-b81f-3ae9dd0ce32d" xsi:nil="true"/>
    <Kommentar xmlns="d16c1a68-7abd-48ef-b484-7d54634ec3d5">Hochgeladen auf Homepage von Krautschneider am 2.12.2022</Kommentar>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EE0FB56F6C7944B95FE0476062B8EB0" ma:contentTypeVersion="14" ma:contentTypeDescription="Ein neues Dokument erstellen." ma:contentTypeScope="" ma:versionID="a324a81c5c86926578a6f9b24eb46936">
  <xsd:schema xmlns:xsd="http://www.w3.org/2001/XMLSchema" xmlns:xs="http://www.w3.org/2001/XMLSchema" xmlns:p="http://schemas.microsoft.com/office/2006/metadata/properties" xmlns:ns2="d16c1a68-7abd-48ef-b484-7d54634ec3d5" xmlns:ns3="0c00c5cf-c319-4f5a-b81f-3ae9dd0ce32d" targetNamespace="http://schemas.microsoft.com/office/2006/metadata/properties" ma:root="true" ma:fieldsID="22f13bcef61ca4fa90115c1feec8cbd4" ns2:_="" ns3:_="">
    <xsd:import namespace="d16c1a68-7abd-48ef-b484-7d54634ec3d5"/>
    <xsd:import namespace="0c00c5cf-c319-4f5a-b81f-3ae9dd0ce3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Kommenta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c1a68-7abd-48ef-b484-7d54634ec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47b62e5-8c39-4ebf-9884-a6d418dab9e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Kommentar" ma:index="18" nillable="true" ma:displayName="Kommentar" ma:format="Dropdown" ma:internalName="Kommentar">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0c5cf-c319-4f5a-b81f-3ae9dd0ce32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31db6c35-aa5e-4a80-8695-b19a07b5f99c}" ma:internalName="TaxCatchAll" ma:showField="CatchAllData" ma:web="0c00c5cf-c319-4f5a-b81f-3ae9dd0c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A8E387-9A8D-4CE2-BB3E-1620FA393C05}">
  <ds:schemaRefs>
    <ds:schemaRef ds:uri="0c00c5cf-c319-4f5a-b81f-3ae9dd0ce32d"/>
    <ds:schemaRef ds:uri="http://schemas.microsoft.com/office/2006/documentManagement/types"/>
    <ds:schemaRef ds:uri="d16c1a68-7abd-48ef-b484-7d54634ec3d5"/>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19C2111C-523D-4EDB-9DFD-B5105014A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c1a68-7abd-48ef-b484-7d54634ec3d5"/>
    <ds:schemaRef ds:uri="0c00c5cf-c319-4f5a-b81f-3ae9dd0ce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B4AFBF-2C73-4A5F-8E77-6665CCC04D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81</vt:i4>
      </vt:variant>
    </vt:vector>
  </HeadingPairs>
  <TitlesOfParts>
    <vt:vector size="92" baseType="lpstr">
      <vt:lpstr>Erläuterung</vt:lpstr>
      <vt:lpstr>1 - Strom Erdgas Wärme Vgl</vt:lpstr>
      <vt:lpstr>2 - Strom Erdgas Wärme Förderj.</vt:lpstr>
      <vt:lpstr>3 - Treibstoffe Rechnungen</vt:lpstr>
      <vt:lpstr>3 - Treibstoffe</vt:lpstr>
      <vt:lpstr>4 - Heizöl_Holzpellets_Hacksch.</vt:lpstr>
      <vt:lpstr>5 - Zuschuss</vt:lpstr>
      <vt:lpstr>Import</vt:lpstr>
      <vt:lpstr>Zählpunkte Schritt 2</vt:lpstr>
      <vt:lpstr>Parameter</vt:lpstr>
      <vt:lpstr>Liste</vt:lpstr>
      <vt:lpstr>Auswahl_EBITDA</vt:lpstr>
      <vt:lpstr>Auswahl_Energieart</vt:lpstr>
      <vt:lpstr>Auswahl_JaNein</vt:lpstr>
      <vt:lpstr>Auswahl_Methode</vt:lpstr>
      <vt:lpstr>Auswahl_Öl</vt:lpstr>
      <vt:lpstr>Auswahl_Treibstoffart</vt:lpstr>
      <vt:lpstr>B_E0_Liter_NichtVSt</vt:lpstr>
      <vt:lpstr>B_Standard_Liter_NichtVSt</vt:lpstr>
      <vt:lpstr>Benzin_Spez</vt:lpstr>
      <vt:lpstr>D_B0_Liter_NichtVSt</vt:lpstr>
      <vt:lpstr>D_Standard_Liter_NichtVSt</vt:lpstr>
      <vt:lpstr>Diesel_Spez</vt:lpstr>
      <vt:lpstr>do_Hackschnitzel</vt:lpstr>
      <vt:lpstr>do_Heizöl</vt:lpstr>
      <vt:lpstr>do_Pellets</vt:lpstr>
      <vt:lpstr>'3 - Treibstoffe'!Druckbereich</vt:lpstr>
      <vt:lpstr>'4 - Heizöl_Holzpellets_Hacksch.'!Druckbereich</vt:lpstr>
      <vt:lpstr>EBIDTA_VZ</vt:lpstr>
      <vt:lpstr>EBITDA_Absenkung</vt:lpstr>
      <vt:lpstr>EBITDA_FZ</vt:lpstr>
      <vt:lpstr>Energieart</vt:lpstr>
      <vt:lpstr>Energieträger_</vt:lpstr>
      <vt:lpstr>Heizölart</vt:lpstr>
      <vt:lpstr>HHH_VSt</vt:lpstr>
      <vt:lpstr>Lastprofilzähler</vt:lpstr>
      <vt:lpstr>Methoden</vt:lpstr>
      <vt:lpstr>par_EBITDA_Absenkung</vt:lpstr>
      <vt:lpstr>par_EBITDA_Deckel</vt:lpstr>
      <vt:lpstr>par_EBITDA_Grenzsatz</vt:lpstr>
      <vt:lpstr>par_Erdgas_kWh_max</vt:lpstr>
      <vt:lpstr>par_Erdgas_ZQ</vt:lpstr>
      <vt:lpstr>par_EZ_Grenze</vt:lpstr>
      <vt:lpstr>par_EZ_Grenze_txt</vt:lpstr>
      <vt:lpstr>par_EZ_Stufe</vt:lpstr>
      <vt:lpstr>par_FZ_dText</vt:lpstr>
      <vt:lpstr>par_FZ_Monate</vt:lpstr>
      <vt:lpstr>par_FZ_SEW_Ende</vt:lpstr>
      <vt:lpstr>par_FZ_SEW_Start</vt:lpstr>
      <vt:lpstr>par_FZ_Tage</vt:lpstr>
      <vt:lpstr>par_FZ_Text</vt:lpstr>
      <vt:lpstr>par_Hack_USt</vt:lpstr>
      <vt:lpstr>par_Hack_VZfaktor</vt:lpstr>
      <vt:lpstr>par_Heizöl_USt</vt:lpstr>
      <vt:lpstr>par_Heizöl_VZfaktor</vt:lpstr>
      <vt:lpstr>par_HZetc_ZQ</vt:lpstr>
      <vt:lpstr>par_Jahr1</vt:lpstr>
      <vt:lpstr>par_Jahr2</vt:lpstr>
      <vt:lpstr>par_Pauschalgrenze</vt:lpstr>
      <vt:lpstr>par_Pell_USt</vt:lpstr>
      <vt:lpstr>par_Pell_VZfaktor</vt:lpstr>
      <vt:lpstr>par_SEW_Richtlinie</vt:lpstr>
      <vt:lpstr>par_Strom_kWh_max</vt:lpstr>
      <vt:lpstr>par_Strom_ZQ</vt:lpstr>
      <vt:lpstr>par_Treibstoff_BasisPreisanstieg</vt:lpstr>
      <vt:lpstr>par_TS_brutto</vt:lpstr>
      <vt:lpstr>par_TS_MöstB</vt:lpstr>
      <vt:lpstr>par_TS_MöstB_E0</vt:lpstr>
      <vt:lpstr>par_TS_MöstD</vt:lpstr>
      <vt:lpstr>par_TS_MöstD_B0</vt:lpstr>
      <vt:lpstr>par_TS_Ust</vt:lpstr>
      <vt:lpstr>par_TS_ZQ</vt:lpstr>
      <vt:lpstr>par_VZ_dText</vt:lpstr>
      <vt:lpstr>par_VZ_Monate</vt:lpstr>
      <vt:lpstr>par_VZ_SEW_Ende</vt:lpstr>
      <vt:lpstr>par_VZ_SEW_Start</vt:lpstr>
      <vt:lpstr>par_VZ_Tage</vt:lpstr>
      <vt:lpstr>par_VZ_Text</vt:lpstr>
      <vt:lpstr>par_WK_kWh_max</vt:lpstr>
      <vt:lpstr>par_WK_ZQ</vt:lpstr>
      <vt:lpstr>par_Zuschuss_EBITDAgrenze</vt:lpstr>
      <vt:lpstr>par_Zuschuss_max</vt:lpstr>
      <vt:lpstr>par_Zuschuss_Pauschal</vt:lpstr>
      <vt:lpstr>par_Zuschuss_Untergrenze</vt:lpstr>
      <vt:lpstr>Treibstoffspezifikation</vt:lpstr>
      <vt:lpstr>TS_brutto</vt:lpstr>
      <vt:lpstr>TS_Liter</vt:lpstr>
      <vt:lpstr>TS_netto</vt:lpstr>
      <vt:lpstr>TS_Treibstoffart</vt:lpstr>
      <vt:lpstr>TS_Vorsteuer</vt:lpstr>
      <vt:lpstr>Verweis_Heizölart</vt:lpstr>
      <vt:lpstr>Zuschuss_vorläufig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Autor</dc:creator>
  <cp:keywords/>
  <dc:description/>
  <cp:lastModifiedBy>PUMBERGER Simon</cp:lastModifiedBy>
  <cp:revision/>
  <cp:lastPrinted>2023-04-19T15:55:35Z</cp:lastPrinted>
  <dcterms:created xsi:type="dcterms:W3CDTF">2022-09-16T06:56:09Z</dcterms:created>
  <dcterms:modified xsi:type="dcterms:W3CDTF">2023-11-17T12:50:34Z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0x0101002EE0FB56F6C7944B95FE0476062B8EB0</vt:lpwstr>
  </property>
  <property fmtid="{D5CDD505-2E9C-101B-9397-08002B2CF9AE}" pid="3" name="MediaServiceImageTags">
    <vt:lpwstr/>
  </property>
</Properties>
</file>